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1"/>
  </bookViews>
  <sheets>
    <sheet name="Дорога 2 полосы застроенная" sheetId="1" r:id="rId1"/>
    <sheet name="Лист2" sheetId="2" r:id="rId2"/>
    <sheet name="Лист3" sheetId="3" r:id="rId3"/>
  </sheets>
  <definedNames>
    <definedName name="_xlnm.Print_Titles" localSheetId="0">'Дорога 2 полосы застроенная'!$11:$12</definedName>
    <definedName name="_xlnm.Print_Area" localSheetId="0">'Дорога 2 полосы застроенная'!$A:$F</definedName>
  </definedNames>
  <calcPr calcId="145621"/>
</workbook>
</file>

<file path=xl/calcChain.xml><?xml version="1.0" encoding="utf-8"?>
<calcChain xmlns="http://schemas.openxmlformats.org/spreadsheetml/2006/main">
  <c r="F68" i="2" l="1"/>
  <c r="F64" i="2"/>
  <c r="F28" i="2" l="1"/>
  <c r="F63" i="2"/>
  <c r="F62" i="2"/>
  <c r="F61" i="2"/>
  <c r="F60" i="2"/>
  <c r="F59" i="2"/>
  <c r="F58" i="2"/>
  <c r="F57" i="2"/>
  <c r="F56" i="2"/>
  <c r="F55" i="2"/>
  <c r="F54" i="2"/>
  <c r="F53" i="2"/>
  <c r="F49" i="2"/>
  <c r="F47" i="2"/>
  <c r="F46" i="2"/>
  <c r="F45" i="2"/>
  <c r="F44" i="2"/>
  <c r="F43" i="2"/>
  <c r="F42" i="2"/>
  <c r="F41" i="2"/>
  <c r="F40" i="2"/>
  <c r="F36" i="2"/>
  <c r="F35" i="2"/>
  <c r="F34" i="2"/>
  <c r="F14" i="2"/>
  <c r="F18" i="2" l="1"/>
  <c r="F19" i="2" s="1"/>
  <c r="F22" i="2"/>
  <c r="F24" i="2" s="1"/>
  <c r="F65" i="2"/>
  <c r="F50" i="2"/>
  <c r="F32" i="2"/>
  <c r="F31" i="2"/>
  <c r="F30" i="2"/>
  <c r="F20" i="2" l="1"/>
  <c r="F37" i="2"/>
  <c r="F51" i="2"/>
  <c r="F15" i="2"/>
  <c r="F23" i="2"/>
  <c r="F58" i="1"/>
  <c r="F52" i="1"/>
  <c r="F51" i="1"/>
  <c r="F50" i="1"/>
  <c r="F49" i="1"/>
  <c r="F46" i="1"/>
  <c r="F45" i="1"/>
  <c r="F41" i="1"/>
  <c r="F40" i="1"/>
  <c r="F39" i="1"/>
  <c r="F30" i="1"/>
  <c r="F26" i="1"/>
  <c r="F25" i="1"/>
  <c r="F24" i="1"/>
  <c r="F20" i="1"/>
  <c r="F19" i="1"/>
  <c r="F18" i="1"/>
  <c r="F14" i="1"/>
  <c r="F69" i="1"/>
  <c r="F68" i="1"/>
  <c r="F67" i="1"/>
  <c r="F66" i="1"/>
  <c r="F65" i="1"/>
  <c r="F64" i="1"/>
  <c r="F63" i="1"/>
  <c r="F62" i="1"/>
  <c r="F61" i="1"/>
  <c r="F60" i="1"/>
  <c r="F59" i="1"/>
  <c r="F70" i="1"/>
  <c r="F25" i="2" l="1"/>
  <c r="F67" i="2" s="1"/>
  <c r="F27" i="1"/>
  <c r="F55" i="1"/>
  <c r="F54" i="1"/>
  <c r="F48" i="1"/>
  <c r="F47" i="1"/>
  <c r="F56" i="1"/>
  <c r="F34" i="1"/>
  <c r="F33" i="1"/>
  <c r="F32" i="1"/>
  <c r="F15" i="1"/>
  <c r="D72" i="2" l="1"/>
  <c r="D73" i="2" s="1"/>
  <c r="F42" i="1"/>
  <c r="J72" i="1" s="1"/>
  <c r="F72" i="1" s="1"/>
  <c r="F73" i="1" s="1"/>
  <c r="D75" i="1" l="1"/>
  <c r="D76" i="1" s="1"/>
  <c r="D77" i="1" s="1"/>
</calcChain>
</file>

<file path=xl/sharedStrings.xml><?xml version="1.0" encoding="utf-8"?>
<sst xmlns="http://schemas.openxmlformats.org/spreadsheetml/2006/main" count="378" uniqueCount="238">
  <si>
    <t>№ п/п</t>
  </si>
  <si>
    <t>Характеристика  работ</t>
  </si>
  <si>
    <t>Единица измерения</t>
  </si>
  <si>
    <t xml:space="preserve">Расчет стоимости: (a+bx)*Kj </t>
  </si>
  <si>
    <t>Номер частей, глав, таблиц,
параграфов и пунктов указаний к
разделу справочника базовых цен
на проектные и изыскательские
работы для строителей</t>
  </si>
  <si>
    <t>Стоимость
работ, 
тыс.руб.</t>
  </si>
  <si>
    <t>Раздел: Проектные работы</t>
  </si>
  <si>
    <t xml:space="preserve">                    СОГЛАСОВАНО</t>
  </si>
  <si>
    <t>Заместитель главы города - директор ДЖКиСК</t>
  </si>
  <si>
    <t>администрации города Югорска</t>
  </si>
  <si>
    <t>В.К. Бандурин __________________________</t>
  </si>
  <si>
    <t>Глава города Югорска</t>
  </si>
  <si>
    <t>Р.З. Салахов __________________________</t>
  </si>
  <si>
    <t>Автомобильная дорога категории IV, протяжение дороги от 2 до 5 км</t>
  </si>
  <si>
    <t>СБЦП-01-28-04-02.5-006
Индекс изменения сметной стоимости проектных и изыскательских работ  К=3,92
Стадия: Проектная документация
К=1,08 (Применительно к таблице 2п.07) Проектирование участков автодороги с пешеходными и велосипедными дорожками и тротуарами
К=1,25 (СБЦ-01-31 разд.3 гл.1 п.11б) Городские инженерные сооружения и коммуникации
К=1,12 – (Прим. к табл. 2 п. 06) Разработка рабочей документации автодороги с выполнением сводного стройгенплана.</t>
  </si>
  <si>
    <t>дорога</t>
  </si>
  <si>
    <t>(139,7+139,7*3,003)*40%*3,92*1,08*1,25*1,12</t>
  </si>
  <si>
    <t>Подраздел: Полевые работы.</t>
  </si>
  <si>
    <t>Раздел: Инженерно - геодезические изыскания.</t>
  </si>
  <si>
    <t>Составление инженерно-топографических планов застроенной территории в масштабе 1:500 с высотой сечения рельефа 0,5 м.</t>
  </si>
  <si>
    <t>1 га</t>
  </si>
  <si>
    <t>3284*0,001*6,006*1,55 *0,85*1,35*1,2*3,93</t>
  </si>
  <si>
    <t xml:space="preserve">                       УТВЕРЖДАЮ</t>
  </si>
  <si>
    <t>СБЦИИС, 2004 г. Часть 1 Таблица  9-5.1 (II категория сложности) К=1,55 – (Прим. К табл.09 п.4) Съемка подземных коммуникаций с помощью приборов поиска и составление плана подземных коммуникаций. 
К=1,35- (Районный коэффициент к заработной плате 1,7 ОУС п.08д) выполнение изысканий в районах Российской Федерации в зависимости от районного коэффициента к заработной плате. 
К=0,85- (ОУС п.14.1) проведение полевых работ без выплаты работникам полевого довольствия или командировочных. 
К=1,2 – (Табл. 10) Съемка узких полос, ширина полосы до 70 м. Индекс изменения сметной стоимости проектных и изыскательских работ К=3,93</t>
  </si>
  <si>
    <t>Расходы по внутреннему транспорту</t>
  </si>
  <si>
    <t>СБЦИИС, 2004 г. 
Табл. 4, § 18,75%</t>
  </si>
  <si>
    <t>165,442*8,75%</t>
  </si>
  <si>
    <t>Расходы по организации и ликвидации работ          на объекте</t>
  </si>
  <si>
    <t xml:space="preserve">
СБЦИИС, 2004 г.
Общие указания п.13 6%
</t>
  </si>
  <si>
    <t>(165,442+14,476)*6%</t>
  </si>
  <si>
    <t>Подраздел: Камеральные работы.</t>
  </si>
  <si>
    <t>СБЦИИС, 2004 г. Часть 1 Таблица  9-5.1 (II категория сложности)
К=1,75- Выполнение картографических работ с составлением планов в двух видах: магнитном и бумажном носителях;
К=1,35- (Районный коэффициент к заработной плате 1,7 ОУС п.08д) 
Индекс изменения сметной стоимости проектных и изыскательских работ К=3,93</t>
  </si>
  <si>
    <t>1067*0,001*6,006*1,75* 1,35*3,93</t>
  </si>
  <si>
    <t>Составление технического отчета по результатам инженерно-геодезических работ</t>
  </si>
  <si>
    <t>Инженерно-геодезические изысканий. 2004г. Часть2 Глава 8 Таблица 79-1</t>
  </si>
  <si>
    <t>10%*59,500</t>
  </si>
  <si>
    <t>Составление программы изысканий</t>
  </si>
  <si>
    <t>Инженерно-геодезические изысканий. 2004г. Часть2 Глава 8 Таблица 78-1</t>
  </si>
  <si>
    <t>4,3%*59,500</t>
  </si>
  <si>
    <t xml:space="preserve">Итого проектные работы  </t>
  </si>
  <si>
    <t xml:space="preserve">Итого инженерно - геодезические изыскания    </t>
  </si>
  <si>
    <t>Раздел: Инженерно - геологические изыскания.</t>
  </si>
  <si>
    <t>Бурение скважины переносными установками диаметром свыше 60 до 89 мм глубиной свыше 10 м</t>
  </si>
  <si>
    <t>Инженерно-геологические и инженерно-экологические изыскания для строительства. 1999 г. Часть 2 Глава 3 Таблица 14-5 (V категория породы)
К=1,35- (Районный коэффициент к заработной плате 1,7 ОУС п.08д) выполнение изысканий в районах Российской Федерации в зависимости от районного коэффициента к заработной плате. Индекс изменения сметной стоимости проектных и изыскательских работ К=44,50</t>
  </si>
  <si>
    <t>38,4*0,001*45*1,35*44,50</t>
  </si>
  <si>
    <t>1 м</t>
  </si>
  <si>
    <t>Камеральная обработка комплексных исследований и отдельных определений физико-механических свойств грунтов (пород): песчаных</t>
  </si>
  <si>
    <t>Инженерно-геологические и инженерно-экологические изыскания для строительства. 1999 г. Часть 7 Глава 21 Таблица 86-2 15%  от п.п.: №3.2 (СиЦ-91-02-06-17-065-001 - Полный комплекс определений физических свойств. Песчаные грунты);</t>
  </si>
  <si>
    <t>6,074*15%</t>
  </si>
  <si>
    <t>Камеральная обработка определения коррозионной активности грунтов и воды</t>
  </si>
  <si>
    <t>Инженерно-геологические и инженерно-экологические изыскания для строительства. 1999 г. Часть 7 Глава 21 Таблица 86-8 15%  от п.п.: №3.5 (СиЦ-91-02-06-18-075-003 - Коррозионная активность грунтов по отношению к свинцовой и алюминиевой оболочке кабеля одновременно);</t>
  </si>
  <si>
    <t>Инженерно-геологические и инженерно-экологические изыскания для строительства. 1999 г. Часть 7 Глава 21 Таблица 86-8 15% от п.п.: №3.6 (СиЦ-91-02-06-18-075-004 - Коррозионная активность грунтов по отношению к стали);</t>
  </si>
  <si>
    <t>1 обработка</t>
  </si>
  <si>
    <t>2,737*15%</t>
  </si>
  <si>
    <t>2,429*15%</t>
  </si>
  <si>
    <t>Подраздел: Лабораторные работы.</t>
  </si>
  <si>
    <t xml:space="preserve">Инженерно-геологические и инженерно-экологические изыскания для строительства. 1999 г. Часть 6 Глава 17 Таблица 65-1
Индекс изменения сметной стоимости проектных и изыскательских работ К=44,50
</t>
  </si>
  <si>
    <t>1 проба</t>
  </si>
  <si>
    <t>(45,5*9)* 44,50*0,001</t>
  </si>
  <si>
    <t>Коррозионная активность грунтов и грунтовых вод по отношению к свинцовой и алюминиевой оболочке кабеля</t>
  </si>
  <si>
    <t>Коррозионная активность грунтов и грунтовых вод по отношению к стали</t>
  </si>
  <si>
    <t>Инженерно-геологические и инженерно-экологические изыскания для строительства. 1999 г. Часть 6 Глава 18 Таблица 75-3 Индекс изменения сметной стоимости проектных и изыскательских работ К=44,50</t>
  </si>
  <si>
    <t>Инженерно-геологические и инженерно-экологические изыскания для строительства. 1999 г. Часть 6 Глава 18 Таблица 75-4 Индекс изменения сметной стоимости проектных и изыскательских работ К=44,50</t>
  </si>
  <si>
    <t xml:space="preserve">Комплексные исследования физико-механических свойств песчаных грунтов. </t>
  </si>
  <si>
    <t>1 образец проба</t>
  </si>
  <si>
    <t>(20,5*9)* 44,50 *0,001</t>
  </si>
  <si>
    <t>(18,2*9)* 44,50*0,001</t>
  </si>
  <si>
    <t xml:space="preserve">Итого инженерно - геологические изыскания    </t>
  </si>
  <si>
    <t xml:space="preserve">НА ВЫПОЛНЕНИЕ ИНЖЕНЕРНЫХ ИЗЫСКАНИЙ, КОРРЕКТИРОВКУ ПРОЕКТНОЙ И РАБОЧЕЙ ДОКУМЕНТАЦИИ НА РЕКОНСТРУКЦИЮ АВТОМОБИЛЬНОЙ ДОРОГИ «УЛИЦА МАГИСТРАЛЬНАЯ В ГОРОДЕ ЮГОРСКЕ»
</t>
  </si>
  <si>
    <t xml:space="preserve">ЛОКАЛЬНЫЙ СМЕТНЫЙ РАСЧЕТ </t>
  </si>
  <si>
    <t>Раздел: Инженерно - экологические изыскания.</t>
  </si>
  <si>
    <t>Инженерно-геологическая, гидрогеологическая рекогносцировка при удовлетворительной проходимости 
[I категория сложности]</t>
  </si>
  <si>
    <t>СиЦ-91-02-01-01-009-002
К=1,35- (Районный коэффициент к заработной плате 1,7 ОУС п.08д) выполнение изысканий в районах Российской Федерации в зависимости от районного коэффициента к заработной плате. Индекс изменения сметной стоимости проектных и изыскательских работ К=44,50</t>
  </si>
  <si>
    <t>1 км 
маршрута</t>
  </si>
  <si>
    <t>(13,5*3,003)*44,50*1,35* 0,001</t>
  </si>
  <si>
    <t xml:space="preserve">Наблюдения при передвижении по маршруту при составлении карты: инженерно-геологической, гидрогеологической, почвенной, инженерно-экологической в масштабе 1:2000-1:1000. удовлетворительная категория проходимости </t>
  </si>
  <si>
    <t>СиЦ-91-02-01-02-010-004б
К=1,35- (Районный коэффициент к заработной плате 1,7 ОУС п.08д) выполнение изысканий в районах Российской Федерации в зависимости от районного коэффициента к заработной плате. Индекс изменения сметной стоимости проектных и изыскательских работ К=44,50</t>
  </si>
  <si>
    <t>(2,1*3,003)* 44,50*1,35*0,001</t>
  </si>
  <si>
    <t>Описание точек наблюдений при составлении инженерно-экологических карт  
[I категория сложности]</t>
  </si>
  <si>
    <t>СиЦ-91-02-01-02-011-002
К=1,35- (Районный коэффициент к заработной плате 1,7 ОУС п.08д) выполнение изысканий в районах Российской Федерации в зависимости от районного коэффициента к заработной плате. Индекс изменения сметной стоимости проектных и изыскательских работ К=44,50</t>
  </si>
  <si>
    <t>1 точка</t>
  </si>
  <si>
    <t>(7,5*20)*44,50*1,35* 0,001</t>
  </si>
  <si>
    <t>Измерение потока радона на участке</t>
  </si>
  <si>
    <t>Радиационное обследование участка площадью свыше 1 га</t>
  </si>
  <si>
    <t>СиЦ-91-02-08-24-91-001
К=1,35- (Районный коэффициент к заработной плате 1,7 ОУС п.08д).
Индекс изменения сметной стоимости проектных и изыскательских работ К=44,50</t>
  </si>
  <si>
    <t>20 точек</t>
  </si>
  <si>
    <t>(161*1)* 44,50*1,35*0,001</t>
  </si>
  <si>
    <t>СиЦ-91-02-08-24-92-003
К=1,35- (Районный коэффициент к заработной плате 1,7 ОУС п.08д) выполнение изысканий в районах Российской Федерации в зависимости от районного коэффициента к заработной плате. Индекс изменения сметной стоимости проектных и изыскательских работ К=44,50</t>
  </si>
  <si>
    <t>0,1 га</t>
  </si>
  <si>
    <t>(14,8*60,06)* 44,50*1,35 *0,001</t>
  </si>
  <si>
    <t>Отбор точечных проб для анализа на загрязненность по химическим показателям: воздуха почвенного (грунтового) и приземной атмосферы (пробоотборниками)</t>
  </si>
  <si>
    <t>СиЦ-91-02-05-16-60-008
К=1,35- (Районный коэффициент к заработной плате 1,7 ОУС п.08д) выполнение изысканий в районах Российской Федерации в зависимости от районного коэффициента к заработной плате. Индекс изменения сметной стоимости проектных и изыскательских работ К=44,50</t>
  </si>
  <si>
    <t>(9,7*9)*44,50*1,35*0,001</t>
  </si>
  <si>
    <t>Определение неустойчивых химических компонентов</t>
  </si>
  <si>
    <t>СиЦ-91-02-05-16-61-001
К=1,35- (Районный коэффициент к заработной плате 1,7 ОУС п.08д). Индекс изменения сметной стоимости проектных и изыскательских работ К=44,50</t>
  </si>
  <si>
    <t>(29*9)* 44,50*1,35*0,001</t>
  </si>
  <si>
    <t>Определение метана и СО2 в воздухе</t>
  </si>
  <si>
    <t>СиЦ-91-02-05-16-61-002
К=1,35- (Районный коэффициент к заработной плате 1,7 ОУС п.08д) выполнение изысканий в районах Российской Федерации в зависимости от районного коэффициента к заработной плате. Индекс изменения сметной стоимости проектных и изыскательских работ К=44,50</t>
  </si>
  <si>
    <t>(6,5*9)*44,50*1,35*0,001</t>
  </si>
  <si>
    <t>Составление программы производства работ</t>
  </si>
  <si>
    <t>Инженерно-экологические изыскания для строительства 1999 г. Часть 7 Глава 20 Таблица 81-1 Индекс изменения сметной стоимости проектных и изыскательских работ К=44,50</t>
  </si>
  <si>
    <t>программа</t>
  </si>
  <si>
    <t>800*0,001*1*44,50</t>
  </si>
  <si>
    <t>Составление технического отчета (заключения) о результатах выполнения работ</t>
  </si>
  <si>
    <t xml:space="preserve">Инженерно-экологические изыскания для строительства 1999 г. Часть 7 Глава22Таблица87-1 </t>
  </si>
  <si>
    <t>1 отчет</t>
  </si>
  <si>
    <t>44,96*0,16</t>
  </si>
  <si>
    <t xml:space="preserve">Итого инженерно - экологические изыскания    </t>
  </si>
  <si>
    <t>Раздел: Инженерно - гидрометеорологические изыскания.</t>
  </si>
  <si>
    <t xml:space="preserve">Рекогносцировочное обследование </t>
  </si>
  <si>
    <t>СиЦ-91-04-02-08-45-002а (прим.)
Индекс изменения сметной стоимости проектных и изыскательских работ К=44,50</t>
  </si>
  <si>
    <t>1 км</t>
  </si>
  <si>
    <t>(6*3,003)* 44,50*0,001</t>
  </si>
  <si>
    <t xml:space="preserve">Систематизация собранных материалов и данных метеорологических наблюдений. Давление воздуха (среднемесячное) </t>
  </si>
  <si>
    <t xml:space="preserve">СиЦ-91-04-02-12-67-002 (прим.)
Индекс изменения сметной стоимости проектных и изыскательских работ К=44,50
</t>
  </si>
  <si>
    <t>1 годостанция</t>
  </si>
  <si>
    <t>(1*20)* 44,50*0,001</t>
  </si>
  <si>
    <t>Систематизация собранных материалов и данных метеорологических наблюдений. Влажность воздуха: средняя месячная</t>
  </si>
  <si>
    <t xml:space="preserve">СиЦ-91-04-02-12-67-006 (прим.)
Индекс изменения сметной стоимости проектных и изыскательских работ К=44,50
</t>
  </si>
  <si>
    <t>(2,8*20)* 44,50*0,001</t>
  </si>
  <si>
    <t xml:space="preserve">Систематизация собранных материалов и данных метеорологических наблюдений. Ветер: месячные данные </t>
  </si>
  <si>
    <t xml:space="preserve">СиЦ-91-04-02-12-67-009 (прим.)
Индекс изменения сметной стоимости проектных и изыскательских работ К=44,50
</t>
  </si>
  <si>
    <t>(7*20)* 44,50*0,001</t>
  </si>
  <si>
    <t>Систематизация собранных материалов и данных метеорологических наблюдений. Осадки: месячные данные</t>
  </si>
  <si>
    <t xml:space="preserve">СиЦ-91-04-02-12-67-012 (прим.)
Индекс изменения сметной стоимости проектных и изыскательских работ К=44,50
</t>
  </si>
  <si>
    <t>(1,7*20)* 44,50*0,001</t>
  </si>
  <si>
    <t>Систематизация собранных материалов и данных метеорологических наблюдений. Снежный покров: декадные данные</t>
  </si>
  <si>
    <t>СиЦ-91-04-02-12-67-014 (прим.)
Индекс изменения сметной стоимости проектных и изыскательских работ К=44,50</t>
  </si>
  <si>
    <t>(1,5*20)* 44,50*0,001</t>
  </si>
  <si>
    <t>Систематизация собранных материалов и данных метеорологических наблюдений. Облачность: средняя месячная</t>
  </si>
  <si>
    <t>СиЦ-91-04-02-12-67-015 (прим.)
Индекс изменения сметной стоимости проектных и изыскательских работ К=44,50</t>
  </si>
  <si>
    <t>(2,1*20)* 44,50*0,001</t>
  </si>
  <si>
    <t xml:space="preserve">Систематизация собранных материалов и данных метеорологических наблюдений. Радиационный баланс </t>
  </si>
  <si>
    <t xml:space="preserve">СиЦ-91-04-02-12-67-022 (прим.)
Индекс изменения сметной стоимости проектных и изыскательских работ К=44,50
</t>
  </si>
  <si>
    <t>(6,7*20)* 44,50*0,001</t>
  </si>
  <si>
    <t xml:space="preserve">Систематизация собранных материалов и данных метеорологических наблюдений. Загрязненные атмосферы </t>
  </si>
  <si>
    <t xml:space="preserve">СиЦ-91-04-02-12-67-023 (прим.)
Индекс изменения сметной стоимости проектных и изыскательских работ К=44,50
</t>
  </si>
  <si>
    <t>(8,2*20)* 44,50*0,001</t>
  </si>
  <si>
    <t xml:space="preserve">Составление климатической характеристики района изысканий </t>
  </si>
  <si>
    <t>СиЦ-91-04-02-12-69-001а (прим.)
Индекс изменения сметной стоимости проектных и изыскательских работ К=44,50</t>
  </si>
  <si>
    <t>1 записка</t>
  </si>
  <si>
    <t>(201*1)* 44,50*0,001</t>
  </si>
  <si>
    <t>Составление программы производства гидрометеорологических работ</t>
  </si>
  <si>
    <t>Инженерно-гидрографические и инженерно-гидрометеорологические изыскания на реках. 2000 г. Часть 2 Глава 11 Таблица 53-1.1 Тип обоснования: Обоснование предпроектной документации;</t>
  </si>
  <si>
    <t>1 программа</t>
  </si>
  <si>
    <t>300*44,50*0,001</t>
  </si>
  <si>
    <t>Инженерно-гидрографические и инженерно-гидрометеорологические изыскания на реках. 2000 г. Глава 11 Таблица 62-1.2</t>
  </si>
  <si>
    <t>36,802*60%</t>
  </si>
  <si>
    <t>Раздел: Государственная экспертиза проектной документации</t>
  </si>
  <si>
    <t>Экспертиза проектной документации</t>
  </si>
  <si>
    <t xml:space="preserve">Приложение Постановления Правительства РФ №145 от 5 марта 2007г. Индекс изменения стоимости К=3,73                                                        Рпд=СпдхПхКi - Доля от суммарной стоимости проектных и изыскательских работ </t>
  </si>
  <si>
    <t>494,154*27,3%*3,73</t>
  </si>
  <si>
    <t>Сумма в ценах 2001г.</t>
  </si>
  <si>
    <t xml:space="preserve">Итого инженерно - гидрометеорологические изыскания.  </t>
  </si>
  <si>
    <t>Итого  государственная экспертиза проектной документации</t>
  </si>
  <si>
    <t>Итого по смете в текущих ценах</t>
  </si>
  <si>
    <t>Средства на покрытие затрат по уплате НДС 18%</t>
  </si>
  <si>
    <t>Всего по смете в текущих ценах с НДС 18%</t>
  </si>
  <si>
    <t>тыс.руб.</t>
  </si>
  <si>
    <t>Площадь, га</t>
  </si>
  <si>
    <t>Количество скважин, шт</t>
  </si>
  <si>
    <t>Протяженность, км</t>
  </si>
  <si>
    <t>Автомобильные дороги общего пользования, категория 2 (4 полосы), категория сложности проектирования 1: протяжение дороги до 2 км</t>
  </si>
  <si>
    <t>СБЦ50-2-2-1
Индекс изменения сметной стоимости проектных и изыскательских работ  К=3,95
Стадия: Проектная документация
К=1,08 (Применительно к таблице 2п.07) Проектирование участков автодороги с пешеходными и велосипедными дорожками и тротуарами</t>
  </si>
  <si>
    <t>145,763*8,75%</t>
  </si>
  <si>
    <t>10%*52,422</t>
  </si>
  <si>
    <t>4,3%*52,422</t>
  </si>
  <si>
    <t>1067*0,001*5,212*1,75* 1,35*3,99</t>
  </si>
  <si>
    <t>(45,5*4)* 45,12*0,001</t>
  </si>
  <si>
    <t>(20,5*4)* 45,12 *0,001</t>
  </si>
  <si>
    <t>(18,2*4)* 45,12*0,001</t>
  </si>
  <si>
    <t>(13,5*1,303)*45,12*1,35* 0,001</t>
  </si>
  <si>
    <t>(2,1*1,303)* 45,12*1,35*0,001</t>
  </si>
  <si>
    <t>(7,5*20)*45,12*1,35* 0,001</t>
  </si>
  <si>
    <t>(161*1)* 45,12*1,35*0,001</t>
  </si>
  <si>
    <t>(14,8*52,12)* 45,12*1,35 *0,001</t>
  </si>
  <si>
    <t>(9,7*4)*45,12*1,35*0,001</t>
  </si>
  <si>
    <t>(29*4)* 45,12*1,35*0,001</t>
  </si>
  <si>
    <t>(6,5*4)*45,12*1,35*0,001</t>
  </si>
  <si>
    <t>800*0,001*1*45,12</t>
  </si>
  <si>
    <t>(6*1,303)* 45,12*0,001</t>
  </si>
  <si>
    <t>(1*20)* 45,12*0,001</t>
  </si>
  <si>
    <t>(2,8*20)* 45,12*0,001</t>
  </si>
  <si>
    <t>(7*20)* 45,12*0,001</t>
  </si>
  <si>
    <t>(1,7*20)* 45,12*0,001</t>
  </si>
  <si>
    <t>(1,5*20)*45,12*0,001</t>
  </si>
  <si>
    <t>(2,1*20)*45,12*0,001</t>
  </si>
  <si>
    <t>(6,7*20)* 45,12*0,001</t>
  </si>
  <si>
    <t>(8,2*20)* 45,12*0,001</t>
  </si>
  <si>
    <t>(201*1)* 45,12*0,001</t>
  </si>
  <si>
    <t>300*45,12*0,001</t>
  </si>
  <si>
    <t>(608,7*1)*1,08*0,4 *3,95</t>
  </si>
  <si>
    <t>3284*0,001*5,212 *1,55*0,85*1,35 *1,2*3,99</t>
  </si>
  <si>
    <t>СБЦИИС, 2004 г. Часть 1 Таблица  9-5.1 (II категория сложности) К=1,55 – (Прим. К табл.09 п.4) Съемка подземных коммуникаций с помощью приборов поиска и составление плана подземных коммуникаций. 
К=1,35- (Районный коэффициент к заработной плате 1,7 ОУС п.08д) выполнение изысканий в районах Российской Федерации в зависимости от районного коэффициента к заработной плате. 
К=0,85- (ОУС п.14.1) проведение полевых работ без выплаты работникам полевого довольствия или командировочных. 
К=1,2 – (Табл. 10) Съемка узких полос, ширина полосы до 70 м. Индекс изменения сметной стоимости проектных и изыскательских работ К=3,99</t>
  </si>
  <si>
    <t>СБЦИИС, 2004 г. Часть 1 Таблица  9-5.1 (II категория сложности)
К=1,75- Выполнение картографических работ с составлением планов в двух видах: магнитном и бумажном носителях;
К=1,35- (Районный коэффициент к заработной плате 1,7 ОУС п.08д) 
Индекс изменения сметной стоимости проектных и изыскательских работ К=3,99</t>
  </si>
  <si>
    <t>Инженерно-геологические и инженерно-экологические изыскания для строительства. 1999 г. Часть 2 Глава 3 Таблица 14-5 (V категория породы)
К=1,35- (Районный коэффициент к заработной плате 1,7 ОУС п.08д) выполнение изысканий в районах Российской Федерации в зависимости от районного коэффициента к заработной плате. Индекс изменения сметной стоимости проектных и изыскательских работ К=45,12</t>
  </si>
  <si>
    <t xml:space="preserve">Инженерно-геологические и инженерно-экологические изыскания для строительства. 1999 г. Часть 6 Глава 17 Таблица 65-1
Индекс изменения сметной стоимости проектных и изыскательских работ К=45,12
</t>
  </si>
  <si>
    <t>Инженерно-геологические и инженерно-экологические изыскания для строительства. 1999 г. Часть 6 Глава 18 Таблица 75-3 Индекс изменения сметной стоимости проектных и изыскательских работ К=45,12</t>
  </si>
  <si>
    <t>Инженерно-геологические и инженерно-экологические изыскания для строительства. 1999 г. Часть 6 Глава 18 Таблица 75-4 Индекс изменения сметной стоимости проектных и изыскательских работ К=45,12</t>
  </si>
  <si>
    <t>СиЦ-91-02-01-01-009-002
К=1,35- (Районный коэффициент к заработной плате 1,7 ОУС п.08д) выполнение изысканий в районах Российской Федерации в зависимости от районного коэффициента к заработной плате. Индекс изменения сметной стоимости проектных и изыскательских работ К=45,12</t>
  </si>
  <si>
    <t>СиЦ-91-02-01-02-010-004б
К=1,35- (Районный коэффициент к заработной плате 1,7 ОУС п.08д) выполнение изысканий в районах Российской Федерации в зависимости от районного коэффициента к заработной плате. Индекс изменения сметной стоимости проектных и изыскательских работ К=45,12</t>
  </si>
  <si>
    <t>СиЦ-91-02-01-02-011-002
К=1,35- (Районный коэффициент к заработной плате 1,7 ОУС п.08д) выполнение изысканий в районах Российской Федерации в зависимости от районного коэффициента к заработной плате. Индекс изменения сметной стоимости проектных и изыскательских работ К=45,12</t>
  </si>
  <si>
    <t>СиЦ-91-02-08-24-91-001
К=1,35- (Районный коэффициент к заработной плате 1,7 ОУС п.08д).
Индекс изменения сметной стоимости проектных и изыскательских работ К=45,12</t>
  </si>
  <si>
    <t>СиЦ-91-02-08-24-92-003
К=1,35- (Районный коэффициент к заработной плате 1,7 ОУС п.08д) выполнение изысканий в районах Российской Федерации в зависимости от районного коэффициента к заработной плате. Индекс изменения сметной стоимости проектных и изыскательских работ К=45,12</t>
  </si>
  <si>
    <t>СиЦ-91-02-05-16-60-008
К=1,35- (Районный коэффициент к заработной плате 1,7 ОУС п.08д) выполнение изысканий в районах Российской Федерации в зависимости от районного коэффициента к заработной плате. Индекс изменения сметной стоимости проектных и изыскательских работ К=45,12</t>
  </si>
  <si>
    <t>СиЦ-91-02-05-16-61-001
К=1,35- (Районный коэффициент к заработной плате 1,7 ОУС п.08д). Индекс изменения сметной стоимости проектных и изыскательских работ К=45,12</t>
  </si>
  <si>
    <t>СиЦ-91-02-05-16-61-002
К=1,35- (Районный коэффициент к заработной плате 1,7 ОУС п.08д) выполнение изысканий в районах Российской Федерации в зависимости от районного коэффициента к заработной плате. Индекс изменения сметной стоимости проектных и изыскательских работ К=45,12</t>
  </si>
  <si>
    <t>Инженерно-экологические изыскания для строительства 1999 г. Часть 7 Глава 20 Таблица 81-1 Индекс изменения сметной стоимости проектных и изыскательских работ К=45,12</t>
  </si>
  <si>
    <t xml:space="preserve">Инженерно-экологические изыскания для строительства 1999 г. Часть 7 Глава22 Таблица 87-1 </t>
  </si>
  <si>
    <t>СиЦ-91-04-02-08-45-002а (прим.)
Индекс изменения сметной стоимости проектных и изыскательских работ К=45,12</t>
  </si>
  <si>
    <t xml:space="preserve">СиЦ-91-04-02-12-67-002 (прим.)
Индекс изменения сметной стоимости проектных и изыскательских работ К=45,12
</t>
  </si>
  <si>
    <t xml:space="preserve">СиЦ-91-04-02-12-67-006 (прим.)
Индекс изменения сметной стоимости проектных и изыскательских работ К=45,12
</t>
  </si>
  <si>
    <t xml:space="preserve">СиЦ-91-04-02-12-67-009 (прим.)
Индекс изменения сметной стоимости проектных и изыскательских работ К=45,12
</t>
  </si>
  <si>
    <t xml:space="preserve">СиЦ-91-04-02-12-67-012 (прим.)
Индекс изменения сметной стоимости проектных и изыскательских работ К=45,12
</t>
  </si>
  <si>
    <t>СиЦ-91-04-02-12-67-014 (прим.)
Индекс изменения сметной стоимости проектных и изыскательских работ К=45,12</t>
  </si>
  <si>
    <t>СиЦ-91-04-02-12-67-015 (прим.)
Индекс изменения сметной стоимости проектных и изыскательских работ К=45,12</t>
  </si>
  <si>
    <t xml:space="preserve">СиЦ-91-04-02-12-67-022 (прим.)
Индекс изменения сметной стоимости проектных и изыскательских работ К=45,12
</t>
  </si>
  <si>
    <t xml:space="preserve">СиЦ-91-04-02-12-67-023 (прим.)
Индекс изменения сметной стоимости проектных и изыскательских работ К=45,12
</t>
  </si>
  <si>
    <t>СиЦ-91-04-02-12-69-001а (прим.)
Индекс изменения сметной стоимости проектных и изыскательских работ К=45,12</t>
  </si>
  <si>
    <t xml:space="preserve">НА ВЫПОЛНЕНИЕ ИНЖЕНЕРНЫХ ИЗЫСКАНИЙ, РАЗРАБОТКУ ПРОЕКТНОЙ И РАБОЧЕЙ ДОКУМЕНТАЦИИ НА РЕКОНСТРУКЦИЮ АВТОМОБИЛЬНОЙ ДОРОГИ «УЛИЦА СТУДЕНЧЕСКАЯ-УЛИЦА ДЕКАБРИСТОВ В ГОРОДЕ ЮГОРСКЕ»
</t>
  </si>
  <si>
    <t>38,4*0,001*40*1,35*45,12</t>
  </si>
  <si>
    <t>СБЦИИС, 2004 г. 
Табл. 4, § 1   8,75%</t>
  </si>
  <si>
    <t xml:space="preserve">
СБЦИИС, 2004 г.
Общие указания п.13     6%
</t>
  </si>
  <si>
    <t>(145,763+12,754)*6%</t>
  </si>
  <si>
    <t>37,397*60%</t>
  </si>
  <si>
    <t>Проверка достоверности сметной стоимости</t>
  </si>
  <si>
    <t>20000/1,18</t>
  </si>
  <si>
    <t xml:space="preserve">Приложение Постановления Правительства РФ №427 от 18 мая 2009г. </t>
  </si>
  <si>
    <t>396,600*27,3%*3,73</t>
  </si>
  <si>
    <t xml:space="preserve">ОБОСНОВАНИЕ ФОРМИРОВАНИЯ НАЧАЛЬНОЙ (МАКСИМАЛЬНОЙ) 
ЦЕНЫ КОНТРАКТА
</t>
  </si>
  <si>
    <t>Нормативные документы:</t>
  </si>
  <si>
    <t>Сборники базовых цен на проектно-изыскательские работы</t>
  </si>
  <si>
    <t>Методические документы в строительстве.</t>
  </si>
  <si>
    <t>Приложение №3 к письму Министерства строительства и жилищно-коммунального хозяйства Российско</t>
  </si>
  <si>
    <t xml:space="preserve">Используемый метод определения НМЦК: проектно-сметный метод </t>
  </si>
  <si>
    <t xml:space="preserve">Федерации от  09.12.2016г. № 41695-ХМ/09 Индексы изменения сметной стоимости проектных и изыскательских </t>
  </si>
  <si>
    <t>работ на 4 квартал 2016 г.</t>
  </si>
  <si>
    <t>Начальная (максимальная) цена принята в размере 2 351 408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</si>
</sst>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/>
    <xf numFmtId="0" fontId="1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/>
    <xf numFmtId="0" fontId="3" fillId="0" borderId="0" xfId="0" applyFont="1"/>
    <xf numFmtId="0" fontId="13" fillId="0" borderId="0" xfId="0" applyFont="1" applyAlignment="1">
      <alignment horizontal="right" vertical="center"/>
    </xf>
    <xf numFmtId="164" fontId="14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/>
    <xf numFmtId="164" fontId="1" fillId="0" borderId="3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/>
    <xf numFmtId="164" fontId="12" fillId="0" borderId="0" xfId="0" applyNumberFormat="1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1" fillId="0" borderId="8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4" xfId="0" applyFont="1" applyBorder="1"/>
    <xf numFmtId="0" fontId="1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zoomScaleNormal="100" workbookViewId="0">
      <selection sqref="A1:XFD1048576"/>
    </sheetView>
  </sheetViews>
  <sheetFormatPr defaultColWidth="9.109375" defaultRowHeight="13.8" x14ac:dyDescent="0.25"/>
  <cols>
    <col min="1" max="1" width="3.5546875" style="4" customWidth="1"/>
    <col min="2" max="2" width="15.88671875" style="4" customWidth="1"/>
    <col min="3" max="3" width="38.44140625" style="4" customWidth="1"/>
    <col min="4" max="4" width="8.33203125" style="4" customWidth="1"/>
    <col min="5" max="5" width="19.5546875" style="4" customWidth="1"/>
    <col min="6" max="6" width="8.5546875" style="4" customWidth="1"/>
    <col min="7" max="16384" width="9.109375" style="4"/>
  </cols>
  <sheetData>
    <row r="1" spans="1:11" x14ac:dyDescent="0.25">
      <c r="A1" s="32" t="s">
        <v>7</v>
      </c>
      <c r="B1" s="32"/>
      <c r="C1" s="32"/>
      <c r="D1" s="32" t="s">
        <v>22</v>
      </c>
      <c r="E1" s="32"/>
      <c r="F1" s="32"/>
    </row>
    <row r="2" spans="1:11" x14ac:dyDescent="0.25">
      <c r="A2" s="31"/>
      <c r="B2" s="31"/>
      <c r="C2" s="31"/>
      <c r="D2" s="31"/>
      <c r="E2" s="31"/>
      <c r="F2" s="31"/>
      <c r="H2" s="29" t="s">
        <v>161</v>
      </c>
      <c r="I2" s="29"/>
      <c r="J2" s="29"/>
      <c r="K2" s="23">
        <v>3.0030000000000001</v>
      </c>
    </row>
    <row r="3" spans="1:11" x14ac:dyDescent="0.25">
      <c r="A3" s="36" t="s">
        <v>8</v>
      </c>
      <c r="B3" s="36"/>
      <c r="C3" s="36"/>
      <c r="D3" s="43" t="s">
        <v>11</v>
      </c>
      <c r="E3" s="43"/>
      <c r="F3" s="43"/>
      <c r="H3" s="29" t="s">
        <v>159</v>
      </c>
      <c r="I3" s="29"/>
      <c r="J3" s="29"/>
      <c r="K3" s="23">
        <v>6.0060000000000002</v>
      </c>
    </row>
    <row r="4" spans="1:11" x14ac:dyDescent="0.25">
      <c r="A4" s="36" t="s">
        <v>9</v>
      </c>
      <c r="B4" s="36"/>
      <c r="C4" s="36"/>
      <c r="D4" s="43"/>
      <c r="E4" s="43"/>
      <c r="F4" s="43"/>
      <c r="H4" s="29" t="s">
        <v>160</v>
      </c>
      <c r="I4" s="29"/>
      <c r="J4" s="29"/>
      <c r="K4" s="24">
        <v>9</v>
      </c>
    </row>
    <row r="5" spans="1:11" ht="7.5" customHeight="1" x14ac:dyDescent="0.25">
      <c r="A5" s="31"/>
      <c r="B5" s="31"/>
      <c r="C5" s="31"/>
      <c r="D5" s="31"/>
      <c r="E5" s="31"/>
      <c r="F5" s="31"/>
      <c r="H5" s="31"/>
      <c r="I5" s="31"/>
      <c r="J5" s="31"/>
    </row>
    <row r="6" spans="1:11" x14ac:dyDescent="0.25">
      <c r="A6" s="36" t="s">
        <v>10</v>
      </c>
      <c r="B6" s="36"/>
      <c r="C6" s="36"/>
      <c r="D6" s="36" t="s">
        <v>12</v>
      </c>
      <c r="E6" s="36"/>
      <c r="F6" s="36"/>
      <c r="H6" s="31"/>
      <c r="I6" s="31"/>
      <c r="J6" s="31"/>
    </row>
    <row r="7" spans="1:11" ht="9" customHeight="1" x14ac:dyDescent="0.25">
      <c r="A7" s="31"/>
      <c r="B7" s="31"/>
      <c r="C7" s="31"/>
      <c r="D7" s="31"/>
      <c r="E7" s="31"/>
      <c r="F7" s="31"/>
      <c r="H7" s="31"/>
      <c r="I7" s="31"/>
      <c r="J7" s="31"/>
    </row>
    <row r="8" spans="1:11" s="19" customFormat="1" ht="17.25" customHeight="1" x14ac:dyDescent="0.25">
      <c r="A8" s="37" t="s">
        <v>69</v>
      </c>
      <c r="B8" s="37"/>
      <c r="C8" s="37"/>
      <c r="D8" s="37"/>
      <c r="E8" s="37"/>
      <c r="F8" s="37"/>
      <c r="H8" s="32"/>
      <c r="I8" s="32"/>
      <c r="J8" s="32"/>
    </row>
    <row r="9" spans="1:11" s="19" customFormat="1" ht="47.25" customHeight="1" x14ac:dyDescent="0.25">
      <c r="A9" s="39" t="s">
        <v>68</v>
      </c>
      <c r="B9" s="39"/>
      <c r="C9" s="39"/>
      <c r="D9" s="39"/>
      <c r="E9" s="39"/>
      <c r="F9" s="39"/>
      <c r="H9" s="32"/>
      <c r="I9" s="32"/>
      <c r="J9" s="32"/>
    </row>
    <row r="10" spans="1:11" ht="21.75" customHeight="1" x14ac:dyDescent="0.25">
      <c r="A10" s="14"/>
      <c r="B10" s="14"/>
      <c r="C10" s="14"/>
      <c r="D10" s="14"/>
      <c r="E10" s="14"/>
      <c r="F10" s="14"/>
    </row>
    <row r="11" spans="1:11" ht="60" x14ac:dyDescent="0.25">
      <c r="A11" s="2" t="s">
        <v>0</v>
      </c>
      <c r="B11" s="2" t="s">
        <v>1</v>
      </c>
      <c r="C11" s="2" t="s">
        <v>4</v>
      </c>
      <c r="D11" s="2" t="s">
        <v>2</v>
      </c>
      <c r="E11" s="2" t="s">
        <v>3</v>
      </c>
      <c r="F11" s="2" t="s">
        <v>5</v>
      </c>
    </row>
    <row r="12" spans="1:11" x14ac:dyDescent="0.25">
      <c r="A12" s="2">
        <v>1</v>
      </c>
      <c r="B12" s="2">
        <v>2</v>
      </c>
      <c r="C12" s="2">
        <v>3</v>
      </c>
      <c r="D12" s="2">
        <v>4</v>
      </c>
      <c r="E12" s="2">
        <v>5</v>
      </c>
      <c r="F12" s="2">
        <v>6</v>
      </c>
    </row>
    <row r="13" spans="1:11" x14ac:dyDescent="0.25">
      <c r="A13" s="38" t="s">
        <v>6</v>
      </c>
      <c r="B13" s="38"/>
      <c r="C13" s="38"/>
      <c r="D13" s="38"/>
      <c r="E13" s="38"/>
      <c r="F13" s="38"/>
    </row>
    <row r="14" spans="1:11" ht="156" x14ac:dyDescent="0.25">
      <c r="A14" s="2">
        <v>1</v>
      </c>
      <c r="B14" s="2" t="s">
        <v>13</v>
      </c>
      <c r="C14" s="3" t="s">
        <v>14</v>
      </c>
      <c r="D14" s="2" t="s">
        <v>15</v>
      </c>
      <c r="E14" s="6" t="s">
        <v>16</v>
      </c>
      <c r="F14" s="8">
        <f>(139.7+139.7*K2)*40%*3.92*1.08*1.25*1.12</f>
        <v>1325.8055897856002</v>
      </c>
    </row>
    <row r="15" spans="1:11" x14ac:dyDescent="0.25">
      <c r="A15" s="34" t="s">
        <v>39</v>
      </c>
      <c r="B15" s="34"/>
      <c r="C15" s="34"/>
      <c r="D15" s="34"/>
      <c r="E15" s="34"/>
      <c r="F15" s="12">
        <f>F14</f>
        <v>1325.8055897856002</v>
      </c>
    </row>
    <row r="16" spans="1:11" x14ac:dyDescent="0.25">
      <c r="A16" s="38" t="s">
        <v>18</v>
      </c>
      <c r="B16" s="38"/>
      <c r="C16" s="38"/>
      <c r="D16" s="38"/>
      <c r="E16" s="38"/>
      <c r="F16" s="38"/>
    </row>
    <row r="17" spans="1:6" x14ac:dyDescent="0.25">
      <c r="A17" s="38" t="s">
        <v>17</v>
      </c>
      <c r="B17" s="38"/>
      <c r="C17" s="38"/>
      <c r="D17" s="38"/>
      <c r="E17" s="38"/>
      <c r="F17" s="38"/>
    </row>
    <row r="18" spans="1:6" ht="192" x14ac:dyDescent="0.25">
      <c r="A18" s="2">
        <v>1</v>
      </c>
      <c r="B18" s="2" t="s">
        <v>19</v>
      </c>
      <c r="C18" s="3" t="s">
        <v>23</v>
      </c>
      <c r="D18" s="2" t="s">
        <v>20</v>
      </c>
      <c r="E18" s="6" t="s">
        <v>21</v>
      </c>
      <c r="F18" s="8">
        <f>3284*0.001*K3* 1.55*0.85*1.35*1.2*3.93</f>
        <v>165.44234039533202</v>
      </c>
    </row>
    <row r="19" spans="1:6" ht="36" x14ac:dyDescent="0.25">
      <c r="A19" s="2">
        <v>2</v>
      </c>
      <c r="B19" s="2" t="s">
        <v>24</v>
      </c>
      <c r="C19" s="3" t="s">
        <v>25</v>
      </c>
      <c r="D19" s="2"/>
      <c r="E19" s="6" t="s">
        <v>26</v>
      </c>
      <c r="F19" s="8">
        <f>F18*8.75%</f>
        <v>14.476204784591552</v>
      </c>
    </row>
    <row r="20" spans="1:6" ht="48" x14ac:dyDescent="0.25">
      <c r="A20" s="2">
        <v>3</v>
      </c>
      <c r="B20" s="2" t="s">
        <v>27</v>
      </c>
      <c r="C20" s="3" t="s">
        <v>28</v>
      </c>
      <c r="D20" s="2"/>
      <c r="E20" s="6" t="s">
        <v>29</v>
      </c>
      <c r="F20" s="8">
        <f>(F18+F19)*6%</f>
        <v>10.795112710795413</v>
      </c>
    </row>
    <row r="21" spans="1:6" x14ac:dyDescent="0.25">
      <c r="A21" s="1"/>
      <c r="B21" s="1"/>
      <c r="C21" s="13"/>
      <c r="D21" s="1"/>
      <c r="E21" s="9"/>
      <c r="F21" s="10"/>
    </row>
    <row r="22" spans="1:6" x14ac:dyDescent="0.25">
      <c r="A22" s="1"/>
      <c r="B22" s="1"/>
      <c r="C22" s="13"/>
      <c r="D22" s="1"/>
      <c r="E22" s="9"/>
      <c r="F22" s="10"/>
    </row>
    <row r="23" spans="1:6" x14ac:dyDescent="0.25">
      <c r="A23" s="38" t="s">
        <v>30</v>
      </c>
      <c r="B23" s="38"/>
      <c r="C23" s="38"/>
      <c r="D23" s="38"/>
      <c r="E23" s="38"/>
      <c r="F23" s="38"/>
    </row>
    <row r="24" spans="1:6" ht="108" x14ac:dyDescent="0.25">
      <c r="A24" s="2">
        <v>1</v>
      </c>
      <c r="B24" s="2" t="s">
        <v>19</v>
      </c>
      <c r="C24" s="3" t="s">
        <v>31</v>
      </c>
      <c r="D24" s="2" t="s">
        <v>20</v>
      </c>
      <c r="E24" s="6" t="s">
        <v>32</v>
      </c>
      <c r="F24" s="8">
        <f>1067*0.001*K3*1.75*1.35*3.93</f>
        <v>59.49960941925</v>
      </c>
    </row>
    <row r="25" spans="1:6" ht="60" x14ac:dyDescent="0.25">
      <c r="A25" s="2">
        <v>2</v>
      </c>
      <c r="B25" s="2" t="s">
        <v>33</v>
      </c>
      <c r="C25" s="3" t="s">
        <v>34</v>
      </c>
      <c r="D25" s="2"/>
      <c r="E25" s="6" t="s">
        <v>35</v>
      </c>
      <c r="F25" s="8">
        <f>F24*10%</f>
        <v>5.9499609419250001</v>
      </c>
    </row>
    <row r="26" spans="1:6" ht="36" x14ac:dyDescent="0.25">
      <c r="A26" s="2">
        <v>3</v>
      </c>
      <c r="B26" s="2" t="s">
        <v>36</v>
      </c>
      <c r="C26" s="3" t="s">
        <v>37</v>
      </c>
      <c r="D26" s="2"/>
      <c r="E26" s="6" t="s">
        <v>38</v>
      </c>
      <c r="F26" s="8">
        <f>F24*4.3%</f>
        <v>2.5584832050277497</v>
      </c>
    </row>
    <row r="27" spans="1:6" x14ac:dyDescent="0.25">
      <c r="A27" s="34" t="s">
        <v>40</v>
      </c>
      <c r="B27" s="34"/>
      <c r="C27" s="34"/>
      <c r="D27" s="34"/>
      <c r="E27" s="34"/>
      <c r="F27" s="11">
        <f>F18+F19+F20+F24+F25+F26</f>
        <v>258.72171145692175</v>
      </c>
    </row>
    <row r="28" spans="1:6" x14ac:dyDescent="0.25">
      <c r="A28" s="38" t="s">
        <v>41</v>
      </c>
      <c r="B28" s="38"/>
      <c r="C28" s="38"/>
      <c r="D28" s="38"/>
      <c r="E28" s="38"/>
      <c r="F28" s="38"/>
    </row>
    <row r="29" spans="1:6" x14ac:dyDescent="0.25">
      <c r="A29" s="38" t="s">
        <v>17</v>
      </c>
      <c r="B29" s="38"/>
      <c r="C29" s="38"/>
      <c r="D29" s="38"/>
      <c r="E29" s="38"/>
      <c r="F29" s="38"/>
    </row>
    <row r="30" spans="1:6" ht="108" x14ac:dyDescent="0.25">
      <c r="A30" s="2">
        <v>1</v>
      </c>
      <c r="B30" s="2" t="s">
        <v>42</v>
      </c>
      <c r="C30" s="3" t="s">
        <v>43</v>
      </c>
      <c r="D30" s="2" t="s">
        <v>45</v>
      </c>
      <c r="E30" s="6" t="s">
        <v>44</v>
      </c>
      <c r="F30" s="8">
        <f>38.4*0.001*5*K4*1.35*44.5</f>
        <v>103.80959999999999</v>
      </c>
    </row>
    <row r="31" spans="1:6" x14ac:dyDescent="0.25">
      <c r="A31" s="40" t="s">
        <v>30</v>
      </c>
      <c r="B31" s="41"/>
      <c r="C31" s="41"/>
      <c r="D31" s="41"/>
      <c r="E31" s="41"/>
      <c r="F31" s="42"/>
    </row>
    <row r="32" spans="1:6" ht="108" x14ac:dyDescent="0.25">
      <c r="A32" s="2">
        <v>1</v>
      </c>
      <c r="B32" s="2" t="s">
        <v>46</v>
      </c>
      <c r="C32" s="3" t="s">
        <v>47</v>
      </c>
      <c r="D32" s="2" t="s">
        <v>45</v>
      </c>
      <c r="E32" s="6" t="s">
        <v>48</v>
      </c>
      <c r="F32" s="8">
        <f>6.074*15%</f>
        <v>0.91109999999999991</v>
      </c>
    </row>
    <row r="33" spans="1:6" ht="72" x14ac:dyDescent="0.25">
      <c r="A33" s="2">
        <v>2</v>
      </c>
      <c r="B33" s="2" t="s">
        <v>49</v>
      </c>
      <c r="C33" s="3" t="s">
        <v>50</v>
      </c>
      <c r="D33" s="2" t="s">
        <v>52</v>
      </c>
      <c r="E33" s="6" t="s">
        <v>53</v>
      </c>
      <c r="F33" s="8">
        <f>2.737*15%</f>
        <v>0.41055000000000003</v>
      </c>
    </row>
    <row r="34" spans="1:6" ht="72" x14ac:dyDescent="0.25">
      <c r="A34" s="2">
        <v>3</v>
      </c>
      <c r="B34" s="2" t="s">
        <v>49</v>
      </c>
      <c r="C34" s="3" t="s">
        <v>51</v>
      </c>
      <c r="D34" s="2" t="s">
        <v>52</v>
      </c>
      <c r="E34" s="6" t="s">
        <v>54</v>
      </c>
      <c r="F34" s="8">
        <f>2.429*15%</f>
        <v>0.36434999999999995</v>
      </c>
    </row>
    <row r="35" spans="1:6" s="15" customFormat="1" x14ac:dyDescent="0.25">
      <c r="A35" s="1"/>
      <c r="B35" s="1"/>
      <c r="C35" s="13"/>
      <c r="D35" s="1"/>
      <c r="E35" s="9"/>
      <c r="F35" s="10"/>
    </row>
    <row r="36" spans="1:6" s="15" customFormat="1" x14ac:dyDescent="0.25">
      <c r="A36" s="1"/>
      <c r="B36" s="1"/>
      <c r="C36" s="13"/>
      <c r="D36" s="1"/>
      <c r="E36" s="9"/>
      <c r="F36" s="10"/>
    </row>
    <row r="37" spans="1:6" s="15" customFormat="1" x14ac:dyDescent="0.25">
      <c r="A37" s="1"/>
      <c r="B37" s="1"/>
      <c r="C37" s="13"/>
      <c r="D37" s="1"/>
      <c r="E37" s="9"/>
      <c r="F37" s="10"/>
    </row>
    <row r="38" spans="1:6" x14ac:dyDescent="0.25">
      <c r="A38" s="38" t="s">
        <v>55</v>
      </c>
      <c r="B38" s="38"/>
      <c r="C38" s="38"/>
      <c r="D38" s="38"/>
      <c r="E38" s="38"/>
      <c r="F38" s="38"/>
    </row>
    <row r="39" spans="1:6" ht="72" x14ac:dyDescent="0.25">
      <c r="A39" s="2">
        <v>1</v>
      </c>
      <c r="B39" s="2" t="s">
        <v>63</v>
      </c>
      <c r="C39" s="3" t="s">
        <v>56</v>
      </c>
      <c r="D39" s="2" t="s">
        <v>57</v>
      </c>
      <c r="E39" s="6" t="s">
        <v>58</v>
      </c>
      <c r="F39" s="8">
        <f>(45.5*K4)* 44.5*0.001</f>
        <v>18.222750000000001</v>
      </c>
    </row>
    <row r="40" spans="1:6" ht="84" x14ac:dyDescent="0.25">
      <c r="A40" s="2">
        <v>2</v>
      </c>
      <c r="B40" s="2" t="s">
        <v>59</v>
      </c>
      <c r="C40" s="3" t="s">
        <v>61</v>
      </c>
      <c r="D40" s="2" t="s">
        <v>64</v>
      </c>
      <c r="E40" s="6" t="s">
        <v>65</v>
      </c>
      <c r="F40" s="8">
        <f>(20.5*K4)* 44.5 *0.001</f>
        <v>8.2102500000000003</v>
      </c>
    </row>
    <row r="41" spans="1:6" ht="60" x14ac:dyDescent="0.25">
      <c r="A41" s="2">
        <v>3</v>
      </c>
      <c r="B41" s="2" t="s">
        <v>60</v>
      </c>
      <c r="C41" s="3" t="s">
        <v>62</v>
      </c>
      <c r="D41" s="2" t="s">
        <v>64</v>
      </c>
      <c r="E41" s="6" t="s">
        <v>66</v>
      </c>
      <c r="F41" s="8">
        <f>(18.2*K4)* 44.5*0.001</f>
        <v>7.2890999999999995</v>
      </c>
    </row>
    <row r="42" spans="1:6" x14ac:dyDescent="0.25">
      <c r="A42" s="34" t="s">
        <v>67</v>
      </c>
      <c r="B42" s="34"/>
      <c r="C42" s="34"/>
      <c r="D42" s="34"/>
      <c r="E42" s="34"/>
      <c r="F42" s="11">
        <f>F30+F32+F33+F34+F39+F40+F41</f>
        <v>139.21769999999998</v>
      </c>
    </row>
    <row r="43" spans="1:6" x14ac:dyDescent="0.25">
      <c r="A43" s="38" t="s">
        <v>70</v>
      </c>
      <c r="B43" s="38"/>
      <c r="C43" s="38"/>
      <c r="D43" s="38"/>
      <c r="E43" s="38"/>
      <c r="F43" s="38"/>
    </row>
    <row r="44" spans="1:6" x14ac:dyDescent="0.25">
      <c r="A44" s="38" t="s">
        <v>17</v>
      </c>
      <c r="B44" s="38"/>
      <c r="C44" s="38"/>
      <c r="D44" s="38"/>
      <c r="E44" s="38"/>
      <c r="F44" s="38"/>
    </row>
    <row r="45" spans="1:6" ht="96" x14ac:dyDescent="0.25">
      <c r="A45" s="2">
        <v>1</v>
      </c>
      <c r="B45" s="2" t="s">
        <v>71</v>
      </c>
      <c r="C45" s="3" t="s">
        <v>72</v>
      </c>
      <c r="D45" s="2" t="s">
        <v>73</v>
      </c>
      <c r="E45" s="6" t="s">
        <v>74</v>
      </c>
      <c r="F45" s="8">
        <f>(13.5*K2)*44.5*1.35* 0.001</f>
        <v>2.4354705375000005</v>
      </c>
    </row>
    <row r="46" spans="1:6" ht="180" x14ac:dyDescent="0.25">
      <c r="A46" s="2">
        <v>2</v>
      </c>
      <c r="B46" s="2" t="s">
        <v>75</v>
      </c>
      <c r="C46" s="3" t="s">
        <v>76</v>
      </c>
      <c r="D46" s="2" t="s">
        <v>73</v>
      </c>
      <c r="E46" s="6" t="s">
        <v>77</v>
      </c>
      <c r="F46" s="8">
        <f>(2.1*K2)* 44.5*1.35*0.001</f>
        <v>0.37885097250000005</v>
      </c>
    </row>
    <row r="47" spans="1:6" ht="84" x14ac:dyDescent="0.25">
      <c r="A47" s="7">
        <v>3</v>
      </c>
      <c r="B47" s="7" t="s">
        <v>78</v>
      </c>
      <c r="C47" s="3" t="s">
        <v>79</v>
      </c>
      <c r="D47" s="2" t="s">
        <v>80</v>
      </c>
      <c r="E47" s="6" t="s">
        <v>81</v>
      </c>
      <c r="F47" s="8">
        <f>(7.5*20)*44.5*1.35*0.001</f>
        <v>9.0112500000000004</v>
      </c>
    </row>
    <row r="48" spans="1:6" ht="60" x14ac:dyDescent="0.25">
      <c r="A48" s="2">
        <v>4</v>
      </c>
      <c r="B48" s="17" t="s">
        <v>82</v>
      </c>
      <c r="C48" s="16" t="s">
        <v>84</v>
      </c>
      <c r="D48" s="2" t="s">
        <v>85</v>
      </c>
      <c r="E48" s="6" t="s">
        <v>86</v>
      </c>
      <c r="F48" s="8">
        <f>(161*1)* 44.5*1.35*0.001</f>
        <v>9.6720750000000013</v>
      </c>
    </row>
    <row r="49" spans="1:6" ht="84" x14ac:dyDescent="0.25">
      <c r="A49" s="2">
        <v>5</v>
      </c>
      <c r="B49" s="17" t="s">
        <v>83</v>
      </c>
      <c r="C49" s="16" t="s">
        <v>87</v>
      </c>
      <c r="D49" s="2" t="s">
        <v>88</v>
      </c>
      <c r="E49" s="6" t="s">
        <v>89</v>
      </c>
      <c r="F49" s="8">
        <f>(14.8*K3*10)* 44.5*1.35 *0.001</f>
        <v>53.399946600000014</v>
      </c>
    </row>
    <row r="50" spans="1:6" ht="120" x14ac:dyDescent="0.25">
      <c r="A50" s="2">
        <v>6</v>
      </c>
      <c r="B50" s="17" t="s">
        <v>90</v>
      </c>
      <c r="C50" s="16" t="s">
        <v>91</v>
      </c>
      <c r="D50" s="2" t="s">
        <v>57</v>
      </c>
      <c r="E50" s="6" t="s">
        <v>92</v>
      </c>
      <c r="F50" s="8">
        <f>(9.7*K4)*44.5*1.35*0.001</f>
        <v>5.2445475000000004</v>
      </c>
    </row>
    <row r="51" spans="1:6" ht="60" x14ac:dyDescent="0.25">
      <c r="A51" s="2">
        <v>7</v>
      </c>
      <c r="B51" s="17" t="s">
        <v>93</v>
      </c>
      <c r="C51" s="16" t="s">
        <v>94</v>
      </c>
      <c r="D51" s="2" t="s">
        <v>57</v>
      </c>
      <c r="E51" s="6" t="s">
        <v>95</v>
      </c>
      <c r="F51" s="8">
        <f>(29*K4)* 44.5*1.35*0.001</f>
        <v>15.679575000000002</v>
      </c>
    </row>
    <row r="52" spans="1:6" ht="84" x14ac:dyDescent="0.25">
      <c r="A52" s="2">
        <v>8</v>
      </c>
      <c r="B52" s="17" t="s">
        <v>96</v>
      </c>
      <c r="C52" s="16" t="s">
        <v>97</v>
      </c>
      <c r="D52" s="2" t="s">
        <v>57</v>
      </c>
      <c r="E52" s="2" t="s">
        <v>98</v>
      </c>
      <c r="F52" s="8">
        <f>(6.5*K4)*44.5*1.35*0.001</f>
        <v>3.5143875000000002</v>
      </c>
    </row>
    <row r="53" spans="1:6" x14ac:dyDescent="0.25">
      <c r="A53" s="44" t="s">
        <v>30</v>
      </c>
      <c r="B53" s="45"/>
      <c r="C53" s="41"/>
      <c r="D53" s="41"/>
      <c r="E53" s="41"/>
      <c r="F53" s="42"/>
    </row>
    <row r="54" spans="1:6" ht="48" x14ac:dyDescent="0.25">
      <c r="A54" s="2">
        <v>1</v>
      </c>
      <c r="B54" s="2" t="s">
        <v>99</v>
      </c>
      <c r="C54" s="3" t="s">
        <v>100</v>
      </c>
      <c r="D54" s="18" t="s">
        <v>101</v>
      </c>
      <c r="E54" s="6" t="s">
        <v>102</v>
      </c>
      <c r="F54" s="8">
        <f>800*0.001*1*44.5</f>
        <v>35.6</v>
      </c>
    </row>
    <row r="55" spans="1:6" ht="60" x14ac:dyDescent="0.25">
      <c r="A55" s="2">
        <v>2</v>
      </c>
      <c r="B55" s="2" t="s">
        <v>103</v>
      </c>
      <c r="C55" s="3" t="s">
        <v>104</v>
      </c>
      <c r="D55" s="2" t="s">
        <v>105</v>
      </c>
      <c r="E55" s="6" t="s">
        <v>106</v>
      </c>
      <c r="F55" s="8">
        <f>44.96*0.16</f>
        <v>7.1936</v>
      </c>
    </row>
    <row r="56" spans="1:6" x14ac:dyDescent="0.25">
      <c r="A56" s="34" t="s">
        <v>107</v>
      </c>
      <c r="B56" s="34"/>
      <c r="C56" s="34"/>
      <c r="D56" s="34"/>
      <c r="E56" s="34"/>
      <c r="F56" s="11">
        <f>F45+F46+F47+F48+F49+F50+F51+F52+F54+F55</f>
        <v>142.12970311000001</v>
      </c>
    </row>
    <row r="57" spans="1:6" x14ac:dyDescent="0.25">
      <c r="A57" s="38" t="s">
        <v>108</v>
      </c>
      <c r="B57" s="38"/>
      <c r="C57" s="38"/>
      <c r="D57" s="38"/>
      <c r="E57" s="38"/>
      <c r="F57" s="38"/>
    </row>
    <row r="58" spans="1:6" s="5" customFormat="1" ht="36" x14ac:dyDescent="0.25">
      <c r="A58" s="2">
        <v>1</v>
      </c>
      <c r="B58" s="2" t="s">
        <v>109</v>
      </c>
      <c r="C58" s="3" t="s">
        <v>110</v>
      </c>
      <c r="D58" s="2" t="s">
        <v>111</v>
      </c>
      <c r="E58" s="6" t="s">
        <v>112</v>
      </c>
      <c r="F58" s="8">
        <f>(6*K2)* 44.5*0.001</f>
        <v>0.8018010000000001</v>
      </c>
    </row>
    <row r="59" spans="1:6" s="5" customFormat="1" ht="84" x14ac:dyDescent="0.25">
      <c r="A59" s="2">
        <v>2</v>
      </c>
      <c r="B59" s="2" t="s">
        <v>113</v>
      </c>
      <c r="C59" s="3" t="s">
        <v>114</v>
      </c>
      <c r="D59" s="2" t="s">
        <v>115</v>
      </c>
      <c r="E59" s="6" t="s">
        <v>116</v>
      </c>
      <c r="F59" s="8">
        <f>(1*20)* 44.5*0.001</f>
        <v>0.89</v>
      </c>
    </row>
    <row r="60" spans="1:6" s="5" customFormat="1" ht="84" x14ac:dyDescent="0.25">
      <c r="A60" s="7">
        <v>3</v>
      </c>
      <c r="B60" s="7" t="s">
        <v>117</v>
      </c>
      <c r="C60" s="3" t="s">
        <v>118</v>
      </c>
      <c r="D60" s="2" t="s">
        <v>115</v>
      </c>
      <c r="E60" s="6" t="s">
        <v>119</v>
      </c>
      <c r="F60" s="8">
        <f>(2.8*20)* 44.5*0.001</f>
        <v>2.492</v>
      </c>
    </row>
    <row r="61" spans="1:6" s="5" customFormat="1" ht="72" x14ac:dyDescent="0.25">
      <c r="A61" s="2">
        <v>4</v>
      </c>
      <c r="B61" s="17" t="s">
        <v>120</v>
      </c>
      <c r="C61" s="16" t="s">
        <v>121</v>
      </c>
      <c r="D61" s="2" t="s">
        <v>115</v>
      </c>
      <c r="E61" s="6" t="s">
        <v>122</v>
      </c>
      <c r="F61" s="8">
        <f>(7*20)* 44.5*0.001</f>
        <v>6.23</v>
      </c>
    </row>
    <row r="62" spans="1:6" s="5" customFormat="1" ht="72" x14ac:dyDescent="0.25">
      <c r="A62" s="2">
        <v>5</v>
      </c>
      <c r="B62" s="17" t="s">
        <v>123</v>
      </c>
      <c r="C62" s="16" t="s">
        <v>124</v>
      </c>
      <c r="D62" s="2" t="s">
        <v>115</v>
      </c>
      <c r="E62" s="6" t="s">
        <v>125</v>
      </c>
      <c r="F62" s="8">
        <f>(1.7*20)* 44.5*0.001</f>
        <v>1.5130000000000001</v>
      </c>
    </row>
    <row r="63" spans="1:6" s="5" customFormat="1" ht="84" x14ac:dyDescent="0.25">
      <c r="A63" s="2">
        <v>6</v>
      </c>
      <c r="B63" s="17" t="s">
        <v>126</v>
      </c>
      <c r="C63" s="16" t="s">
        <v>127</v>
      </c>
      <c r="D63" s="2" t="s">
        <v>115</v>
      </c>
      <c r="E63" s="6" t="s">
        <v>128</v>
      </c>
      <c r="F63" s="8">
        <f>(1.5*20)* 44.5*0.001</f>
        <v>1.335</v>
      </c>
    </row>
    <row r="64" spans="1:6" s="5" customFormat="1" ht="84" x14ac:dyDescent="0.25">
      <c r="A64" s="2">
        <v>7</v>
      </c>
      <c r="B64" s="17" t="s">
        <v>129</v>
      </c>
      <c r="C64" s="16" t="s">
        <v>130</v>
      </c>
      <c r="D64" s="2" t="s">
        <v>115</v>
      </c>
      <c r="E64" s="6" t="s">
        <v>131</v>
      </c>
      <c r="F64" s="8">
        <f>(2.1*20)* 44.5*0.001</f>
        <v>1.869</v>
      </c>
    </row>
    <row r="65" spans="1:10" s="5" customFormat="1" ht="84" x14ac:dyDescent="0.25">
      <c r="A65" s="2">
        <v>8</v>
      </c>
      <c r="B65" s="17" t="s">
        <v>132</v>
      </c>
      <c r="C65" s="16" t="s">
        <v>133</v>
      </c>
      <c r="D65" s="2" t="s">
        <v>115</v>
      </c>
      <c r="E65" s="2" t="s">
        <v>134</v>
      </c>
      <c r="F65" s="8">
        <f>(6.7*20)* 44.5*0.001</f>
        <v>5.9630000000000001</v>
      </c>
    </row>
    <row r="66" spans="1:10" s="5" customFormat="1" ht="84" x14ac:dyDescent="0.25">
      <c r="A66" s="2">
        <v>9</v>
      </c>
      <c r="B66" s="17" t="s">
        <v>135</v>
      </c>
      <c r="C66" s="16" t="s">
        <v>136</v>
      </c>
      <c r="D66" s="2" t="s">
        <v>115</v>
      </c>
      <c r="E66" s="2" t="s">
        <v>137</v>
      </c>
      <c r="F66" s="8">
        <f>8.2*20*44.5*0.001</f>
        <v>7.298</v>
      </c>
    </row>
    <row r="67" spans="1:10" s="5" customFormat="1" ht="48" x14ac:dyDescent="0.25">
      <c r="A67" s="2">
        <v>10</v>
      </c>
      <c r="B67" s="17" t="s">
        <v>138</v>
      </c>
      <c r="C67" s="16" t="s">
        <v>139</v>
      </c>
      <c r="D67" s="2" t="s">
        <v>140</v>
      </c>
      <c r="E67" s="2" t="s">
        <v>141</v>
      </c>
      <c r="F67" s="8">
        <f>(201*1)* 44.5*0.001</f>
        <v>8.9444999999999997</v>
      </c>
    </row>
    <row r="68" spans="1:10" s="5" customFormat="1" ht="60" x14ac:dyDescent="0.25">
      <c r="A68" s="2">
        <v>11</v>
      </c>
      <c r="B68" s="17" t="s">
        <v>142</v>
      </c>
      <c r="C68" s="16" t="s">
        <v>143</v>
      </c>
      <c r="D68" s="2" t="s">
        <v>144</v>
      </c>
      <c r="E68" s="2" t="s">
        <v>145</v>
      </c>
      <c r="F68" s="8">
        <f>300*44.5*0.001</f>
        <v>13.35</v>
      </c>
    </row>
    <row r="69" spans="1:10" s="5" customFormat="1" ht="60" x14ac:dyDescent="0.25">
      <c r="A69" s="2">
        <v>12</v>
      </c>
      <c r="B69" s="17" t="s">
        <v>103</v>
      </c>
      <c r="C69" s="16" t="s">
        <v>146</v>
      </c>
      <c r="D69" s="2" t="s">
        <v>105</v>
      </c>
      <c r="E69" s="2" t="s">
        <v>147</v>
      </c>
      <c r="F69" s="8">
        <f>36.802*60%</f>
        <v>22.081199999999999</v>
      </c>
    </row>
    <row r="70" spans="1:10" s="5" customFormat="1" x14ac:dyDescent="0.25">
      <c r="A70" s="34" t="s">
        <v>153</v>
      </c>
      <c r="B70" s="34"/>
      <c r="C70" s="34"/>
      <c r="D70" s="34"/>
      <c r="E70" s="34"/>
      <c r="F70" s="12">
        <f>F58+F59+F60+F61+F62+F63+F64+F65+F66+F67+F68+F69</f>
        <v>72.767500999999996</v>
      </c>
    </row>
    <row r="71" spans="1:10" s="5" customFormat="1" x14ac:dyDescent="0.25">
      <c r="A71" s="38" t="s">
        <v>148</v>
      </c>
      <c r="B71" s="38"/>
      <c r="C71" s="38"/>
      <c r="D71" s="38"/>
      <c r="E71" s="38"/>
      <c r="F71" s="38"/>
    </row>
    <row r="72" spans="1:10" s="5" customFormat="1" ht="60" x14ac:dyDescent="0.25">
      <c r="A72" s="2">
        <v>1</v>
      </c>
      <c r="B72" s="17" t="s">
        <v>149</v>
      </c>
      <c r="C72" s="16" t="s">
        <v>150</v>
      </c>
      <c r="D72" s="2" t="s">
        <v>105</v>
      </c>
      <c r="E72" s="2" t="s">
        <v>151</v>
      </c>
      <c r="F72" s="8">
        <f>J72*27.3%*3.73</f>
        <v>503.19185446790999</v>
      </c>
      <c r="H72" s="33" t="s">
        <v>152</v>
      </c>
      <c r="I72" s="33"/>
      <c r="J72" s="8">
        <f>(F14/3.92)+((F27+F42+F56+F70)/3.93)</f>
        <v>494.15378179880969</v>
      </c>
    </row>
    <row r="73" spans="1:10" s="5" customFormat="1" x14ac:dyDescent="0.25">
      <c r="A73" s="34" t="s">
        <v>154</v>
      </c>
      <c r="B73" s="34"/>
      <c r="C73" s="34"/>
      <c r="D73" s="34"/>
      <c r="E73" s="34"/>
      <c r="F73" s="11">
        <f>F72</f>
        <v>503.19185446790999</v>
      </c>
    </row>
    <row r="75" spans="1:10" ht="30" customHeight="1" x14ac:dyDescent="0.25">
      <c r="B75" s="35" t="s">
        <v>155</v>
      </c>
      <c r="C75" s="35"/>
      <c r="D75" s="30">
        <f>F15+F27+F42+F56+F70+F73</f>
        <v>2441.8340598204318</v>
      </c>
      <c r="E75" s="30"/>
      <c r="F75" s="22" t="s">
        <v>158</v>
      </c>
    </row>
    <row r="76" spans="1:10" ht="30" customHeight="1" x14ac:dyDescent="0.25">
      <c r="B76" s="35" t="s">
        <v>156</v>
      </c>
      <c r="C76" s="35"/>
      <c r="D76" s="30">
        <f>D75*18%</f>
        <v>439.53013076767769</v>
      </c>
      <c r="E76" s="30"/>
      <c r="F76" s="22" t="s">
        <v>158</v>
      </c>
    </row>
    <row r="77" spans="1:10" ht="30" customHeight="1" x14ac:dyDescent="0.25">
      <c r="B77" s="35" t="s">
        <v>157</v>
      </c>
      <c r="C77" s="35"/>
      <c r="D77" s="30">
        <f>D75+D76</f>
        <v>2881.3641905881095</v>
      </c>
      <c r="E77" s="30"/>
      <c r="F77" s="22" t="s">
        <v>158</v>
      </c>
    </row>
    <row r="78" spans="1:10" x14ac:dyDescent="0.25">
      <c r="D78" s="30"/>
      <c r="E78" s="30"/>
    </row>
  </sheetData>
  <mergeCells count="50">
    <mergeCell ref="A56:E56"/>
    <mergeCell ref="A57:F57"/>
    <mergeCell ref="A38:F38"/>
    <mergeCell ref="A42:E42"/>
    <mergeCell ref="A43:F43"/>
    <mergeCell ref="A44:F44"/>
    <mergeCell ref="A53:F53"/>
    <mergeCell ref="D1:F1"/>
    <mergeCell ref="D2:F2"/>
    <mergeCell ref="D5:F5"/>
    <mergeCell ref="D6:F6"/>
    <mergeCell ref="D7:F7"/>
    <mergeCell ref="D3:F4"/>
    <mergeCell ref="A1:C1"/>
    <mergeCell ref="A2:C2"/>
    <mergeCell ref="A3:C3"/>
    <mergeCell ref="A4:C4"/>
    <mergeCell ref="A5:C5"/>
    <mergeCell ref="D77:E77"/>
    <mergeCell ref="A6:C6"/>
    <mergeCell ref="A7:C7"/>
    <mergeCell ref="A8:F8"/>
    <mergeCell ref="A70:E70"/>
    <mergeCell ref="A71:F71"/>
    <mergeCell ref="A9:F9"/>
    <mergeCell ref="A13:F13"/>
    <mergeCell ref="A27:E27"/>
    <mergeCell ref="A28:F28"/>
    <mergeCell ref="A16:F16"/>
    <mergeCell ref="A17:F17"/>
    <mergeCell ref="A23:F23"/>
    <mergeCell ref="A15:E15"/>
    <mergeCell ref="A29:F29"/>
    <mergeCell ref="A31:F31"/>
    <mergeCell ref="H2:J2"/>
    <mergeCell ref="H3:J3"/>
    <mergeCell ref="D78:E78"/>
    <mergeCell ref="H4:J4"/>
    <mergeCell ref="H5:J5"/>
    <mergeCell ref="H6:J6"/>
    <mergeCell ref="H7:J7"/>
    <mergeCell ref="H8:J8"/>
    <mergeCell ref="H9:J9"/>
    <mergeCell ref="H72:I72"/>
    <mergeCell ref="A73:E73"/>
    <mergeCell ref="B75:C75"/>
    <mergeCell ref="B76:C76"/>
    <mergeCell ref="B77:C77"/>
    <mergeCell ref="D75:E75"/>
    <mergeCell ref="D76:E76"/>
  </mergeCells>
  <pageMargins left="0.62992125984251968" right="0.23622047244094491" top="0.39370078740157483" bottom="0.74803149606299213" header="0.31496062992125984" footer="0.31496062992125984"/>
  <pageSetup paperSize="9" orientation="portrait" r:id="rId1"/>
  <ignoredErrors>
    <ignoredError sqref="F6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topLeftCell="A67" zoomScaleNormal="100" zoomScaleSheetLayoutView="115" workbookViewId="0">
      <selection activeCell="D81" sqref="D81"/>
    </sheetView>
  </sheetViews>
  <sheetFormatPr defaultColWidth="9.109375" defaultRowHeight="13.8" x14ac:dyDescent="0.25"/>
  <cols>
    <col min="1" max="1" width="3.5546875" style="21" customWidth="1"/>
    <col min="2" max="2" width="20.5546875" style="21" customWidth="1"/>
    <col min="3" max="3" width="32.88671875" style="21" customWidth="1"/>
    <col min="4" max="4" width="8.109375" style="21" customWidth="1"/>
    <col min="5" max="5" width="11.5546875" style="21" customWidth="1"/>
    <col min="6" max="6" width="13.77734375" style="21" customWidth="1"/>
    <col min="7" max="16384" width="9.109375" style="21"/>
  </cols>
  <sheetData>
    <row r="1" spans="1:11" ht="54" customHeight="1" x14ac:dyDescent="0.25">
      <c r="A1" s="53" t="s">
        <v>229</v>
      </c>
      <c r="B1" s="53"/>
      <c r="C1" s="53"/>
      <c r="D1" s="53"/>
      <c r="E1" s="53"/>
      <c r="F1" s="53"/>
    </row>
    <row r="2" spans="1:11" x14ac:dyDescent="0.25">
      <c r="A2" s="46" t="s">
        <v>230</v>
      </c>
      <c r="B2" s="46"/>
      <c r="C2" s="46"/>
      <c r="D2" s="46"/>
      <c r="E2" s="46"/>
      <c r="F2" s="46"/>
      <c r="H2" s="48"/>
      <c r="I2" s="49"/>
      <c r="J2" s="50"/>
      <c r="K2" s="23"/>
    </row>
    <row r="3" spans="1:11" x14ac:dyDescent="0.25">
      <c r="A3" s="52" t="s">
        <v>231</v>
      </c>
      <c r="B3" s="52"/>
      <c r="C3" s="52"/>
      <c r="D3" s="52"/>
      <c r="E3" s="52"/>
      <c r="F3" s="52"/>
      <c r="H3" s="29"/>
      <c r="I3" s="29"/>
      <c r="J3" s="29"/>
      <c r="K3" s="23"/>
    </row>
    <row r="4" spans="1:11" x14ac:dyDescent="0.25">
      <c r="A4" s="52" t="s">
        <v>232</v>
      </c>
      <c r="B4" s="52"/>
      <c r="C4" s="52"/>
      <c r="D4" s="52"/>
      <c r="E4" s="52"/>
      <c r="F4" s="52"/>
      <c r="H4" s="29"/>
      <c r="I4" s="29"/>
      <c r="J4" s="29"/>
      <c r="K4" s="24"/>
    </row>
    <row r="5" spans="1:11" ht="15.6" customHeight="1" x14ac:dyDescent="0.25">
      <c r="A5" s="46" t="s">
        <v>233</v>
      </c>
      <c r="B5" s="46"/>
      <c r="C5" s="46"/>
      <c r="D5" s="46"/>
      <c r="E5" s="46"/>
      <c r="F5" s="46"/>
      <c r="H5" s="31"/>
      <c r="I5" s="31"/>
      <c r="J5" s="31"/>
    </row>
    <row r="6" spans="1:11" s="26" customFormat="1" ht="15.6" customHeight="1" x14ac:dyDescent="0.25">
      <c r="A6" s="46" t="s">
        <v>235</v>
      </c>
      <c r="B6" s="46"/>
      <c r="C6" s="46"/>
      <c r="D6" s="46"/>
      <c r="E6" s="46"/>
      <c r="F6" s="46"/>
    </row>
    <row r="7" spans="1:11" s="26" customFormat="1" ht="15.6" customHeight="1" x14ac:dyDescent="0.25">
      <c r="A7" s="46" t="s">
        <v>236</v>
      </c>
      <c r="B7" s="46"/>
      <c r="C7" s="46"/>
      <c r="D7" s="46"/>
      <c r="E7" s="46"/>
      <c r="F7" s="46"/>
    </row>
    <row r="8" spans="1:11" x14ac:dyDescent="0.25">
      <c r="A8" s="52" t="s">
        <v>234</v>
      </c>
      <c r="B8" s="52"/>
      <c r="C8" s="52"/>
      <c r="D8" s="52"/>
      <c r="E8" s="52"/>
      <c r="F8" s="52"/>
      <c r="H8" s="31"/>
      <c r="I8" s="31"/>
      <c r="J8" s="31"/>
    </row>
    <row r="9" spans="1:11" s="20" customFormat="1" ht="17.25" customHeight="1" x14ac:dyDescent="0.25">
      <c r="A9" s="37" t="s">
        <v>69</v>
      </c>
      <c r="B9" s="37"/>
      <c r="C9" s="37"/>
      <c r="D9" s="37"/>
      <c r="E9" s="37"/>
      <c r="F9" s="37"/>
      <c r="H9" s="32"/>
      <c r="I9" s="32"/>
      <c r="J9" s="32"/>
    </row>
    <row r="10" spans="1:11" s="20" customFormat="1" ht="47.25" customHeight="1" x14ac:dyDescent="0.25">
      <c r="A10" s="39" t="s">
        <v>219</v>
      </c>
      <c r="B10" s="39"/>
      <c r="C10" s="39"/>
      <c r="D10" s="39"/>
      <c r="E10" s="39"/>
      <c r="F10" s="39"/>
      <c r="H10" s="32"/>
      <c r="I10" s="32"/>
      <c r="J10" s="32"/>
    </row>
    <row r="11" spans="1:11" ht="60" x14ac:dyDescent="0.25">
      <c r="A11" s="2" t="s">
        <v>0</v>
      </c>
      <c r="B11" s="2" t="s">
        <v>1</v>
      </c>
      <c r="C11" s="2" t="s">
        <v>4</v>
      </c>
      <c r="D11" s="2" t="s">
        <v>2</v>
      </c>
      <c r="E11" s="2" t="s">
        <v>3</v>
      </c>
      <c r="F11" s="2" t="s">
        <v>5</v>
      </c>
    </row>
    <row r="12" spans="1:11" x14ac:dyDescent="0.25">
      <c r="A12" s="2">
        <v>1</v>
      </c>
      <c r="B12" s="2">
        <v>2</v>
      </c>
      <c r="C12" s="2">
        <v>3</v>
      </c>
      <c r="D12" s="2">
        <v>4</v>
      </c>
      <c r="E12" s="2">
        <v>5</v>
      </c>
      <c r="F12" s="2">
        <v>6</v>
      </c>
    </row>
    <row r="13" spans="1:11" x14ac:dyDescent="0.25">
      <c r="A13" s="38" t="s">
        <v>6</v>
      </c>
      <c r="B13" s="38"/>
      <c r="C13" s="38"/>
      <c r="D13" s="38"/>
      <c r="E13" s="38"/>
      <c r="F13" s="38"/>
    </row>
    <row r="14" spans="1:11" ht="96" x14ac:dyDescent="0.25">
      <c r="A14" s="2">
        <v>1</v>
      </c>
      <c r="B14" s="2" t="s">
        <v>162</v>
      </c>
      <c r="C14" s="3" t="s">
        <v>163</v>
      </c>
      <c r="D14" s="2" t="s">
        <v>15</v>
      </c>
      <c r="E14" s="6" t="s">
        <v>191</v>
      </c>
      <c r="F14" s="8">
        <f>(608.7+0*K2)*40%*3.95*1.08</f>
        <v>1038.6856800000003</v>
      </c>
    </row>
    <row r="15" spans="1:11" x14ac:dyDescent="0.25">
      <c r="A15" s="34" t="s">
        <v>39</v>
      </c>
      <c r="B15" s="34"/>
      <c r="C15" s="34"/>
      <c r="D15" s="34"/>
      <c r="E15" s="34"/>
      <c r="F15" s="12">
        <f>F14</f>
        <v>1038.6856800000003</v>
      </c>
    </row>
    <row r="16" spans="1:11" x14ac:dyDescent="0.25">
      <c r="A16" s="38" t="s">
        <v>18</v>
      </c>
      <c r="B16" s="38"/>
      <c r="C16" s="38"/>
      <c r="D16" s="38"/>
      <c r="E16" s="38"/>
      <c r="F16" s="38"/>
    </row>
    <row r="17" spans="1:6" x14ac:dyDescent="0.25">
      <c r="A17" s="38" t="s">
        <v>17</v>
      </c>
      <c r="B17" s="38"/>
      <c r="C17" s="38"/>
      <c r="D17" s="38"/>
      <c r="E17" s="38"/>
      <c r="F17" s="38"/>
    </row>
    <row r="18" spans="1:6" ht="216" x14ac:dyDescent="0.25">
      <c r="A18" s="2">
        <v>1</v>
      </c>
      <c r="B18" s="2" t="s">
        <v>19</v>
      </c>
      <c r="C18" s="3" t="s">
        <v>193</v>
      </c>
      <c r="D18" s="2" t="s">
        <v>20</v>
      </c>
      <c r="E18" s="6" t="s">
        <v>192</v>
      </c>
      <c r="F18" s="8">
        <f>3284*0.001*K3* 1.55*0.85*1.35*1.2*3.99</f>
        <v>0</v>
      </c>
    </row>
    <row r="19" spans="1:6" ht="24" x14ac:dyDescent="0.25">
      <c r="A19" s="2">
        <v>2</v>
      </c>
      <c r="B19" s="2" t="s">
        <v>24</v>
      </c>
      <c r="C19" s="3" t="s">
        <v>221</v>
      </c>
      <c r="D19" s="2"/>
      <c r="E19" s="6" t="s">
        <v>164</v>
      </c>
      <c r="F19" s="8">
        <f>F18*8.75%</f>
        <v>0</v>
      </c>
    </row>
    <row r="20" spans="1:6" ht="48" x14ac:dyDescent="0.25">
      <c r="A20" s="2">
        <v>3</v>
      </c>
      <c r="B20" s="2" t="s">
        <v>27</v>
      </c>
      <c r="C20" s="3" t="s">
        <v>222</v>
      </c>
      <c r="D20" s="2"/>
      <c r="E20" s="6" t="s">
        <v>223</v>
      </c>
      <c r="F20" s="8">
        <f>(F18+F19)*6%</f>
        <v>0</v>
      </c>
    </row>
    <row r="21" spans="1:6" x14ac:dyDescent="0.25">
      <c r="A21" s="38" t="s">
        <v>30</v>
      </c>
      <c r="B21" s="38"/>
      <c r="C21" s="38"/>
      <c r="D21" s="38"/>
      <c r="E21" s="38"/>
      <c r="F21" s="38"/>
    </row>
    <row r="22" spans="1:6" ht="108" x14ac:dyDescent="0.25">
      <c r="A22" s="2">
        <v>1</v>
      </c>
      <c r="B22" s="2" t="s">
        <v>19</v>
      </c>
      <c r="C22" s="3" t="s">
        <v>194</v>
      </c>
      <c r="D22" s="2" t="s">
        <v>20</v>
      </c>
      <c r="E22" s="6" t="s">
        <v>167</v>
      </c>
      <c r="F22" s="8">
        <f>1067*0.001*K3*1.75*1.35*3.99</f>
        <v>0</v>
      </c>
    </row>
    <row r="23" spans="1:6" ht="48" x14ac:dyDescent="0.25">
      <c r="A23" s="2">
        <v>2</v>
      </c>
      <c r="B23" s="2" t="s">
        <v>33</v>
      </c>
      <c r="C23" s="3" t="s">
        <v>34</v>
      </c>
      <c r="D23" s="2"/>
      <c r="E23" s="6" t="s">
        <v>165</v>
      </c>
      <c r="F23" s="8">
        <f>F22*10%</f>
        <v>0</v>
      </c>
    </row>
    <row r="24" spans="1:6" ht="24" x14ac:dyDescent="0.25">
      <c r="A24" s="2">
        <v>3</v>
      </c>
      <c r="B24" s="2" t="s">
        <v>36</v>
      </c>
      <c r="C24" s="3" t="s">
        <v>37</v>
      </c>
      <c r="D24" s="2"/>
      <c r="E24" s="6" t="s">
        <v>166</v>
      </c>
      <c r="F24" s="8">
        <f>F22*4.3%</f>
        <v>0</v>
      </c>
    </row>
    <row r="25" spans="1:6" x14ac:dyDescent="0.25">
      <c r="A25" s="34" t="s">
        <v>40</v>
      </c>
      <c r="B25" s="34"/>
      <c r="C25" s="34"/>
      <c r="D25" s="34"/>
      <c r="E25" s="34"/>
      <c r="F25" s="11">
        <f>F18+F19+F20+F22+F23+F24</f>
        <v>0</v>
      </c>
    </row>
    <row r="26" spans="1:6" x14ac:dyDescent="0.25">
      <c r="A26" s="38" t="s">
        <v>41</v>
      </c>
      <c r="B26" s="38"/>
      <c r="C26" s="38"/>
      <c r="D26" s="38"/>
      <c r="E26" s="38"/>
      <c r="F26" s="38"/>
    </row>
    <row r="27" spans="1:6" x14ac:dyDescent="0.25">
      <c r="A27" s="38" t="s">
        <v>17</v>
      </c>
      <c r="B27" s="38"/>
      <c r="C27" s="38"/>
      <c r="D27" s="38"/>
      <c r="E27" s="38"/>
      <c r="F27" s="38"/>
    </row>
    <row r="28" spans="1:6" ht="132" x14ac:dyDescent="0.25">
      <c r="A28" s="2">
        <v>1</v>
      </c>
      <c r="B28" s="2" t="s">
        <v>42</v>
      </c>
      <c r="C28" s="3" t="s">
        <v>195</v>
      </c>
      <c r="D28" s="2" t="s">
        <v>45</v>
      </c>
      <c r="E28" s="6" t="s">
        <v>220</v>
      </c>
      <c r="F28" s="8">
        <f>38.4*0.001*10*K4*1.35*45.12</f>
        <v>0</v>
      </c>
    </row>
    <row r="29" spans="1:6" x14ac:dyDescent="0.25">
      <c r="A29" s="40" t="s">
        <v>30</v>
      </c>
      <c r="B29" s="41"/>
      <c r="C29" s="41"/>
      <c r="D29" s="41"/>
      <c r="E29" s="41"/>
      <c r="F29" s="42"/>
    </row>
    <row r="30" spans="1:6" ht="72" x14ac:dyDescent="0.25">
      <c r="A30" s="2">
        <v>1</v>
      </c>
      <c r="B30" s="2" t="s">
        <v>46</v>
      </c>
      <c r="C30" s="3" t="s">
        <v>47</v>
      </c>
      <c r="D30" s="2" t="s">
        <v>45</v>
      </c>
      <c r="E30" s="6" t="s">
        <v>48</v>
      </c>
      <c r="F30" s="8">
        <f>6.074*15%</f>
        <v>0.91109999999999991</v>
      </c>
    </row>
    <row r="31" spans="1:6" ht="84" x14ac:dyDescent="0.25">
      <c r="A31" s="2">
        <v>2</v>
      </c>
      <c r="B31" s="2" t="s">
        <v>49</v>
      </c>
      <c r="C31" s="3" t="s">
        <v>50</v>
      </c>
      <c r="D31" s="2" t="s">
        <v>52</v>
      </c>
      <c r="E31" s="6" t="s">
        <v>53</v>
      </c>
      <c r="F31" s="8">
        <f>2.737*15%</f>
        <v>0.41055000000000003</v>
      </c>
    </row>
    <row r="32" spans="1:6" ht="72" x14ac:dyDescent="0.25">
      <c r="A32" s="2">
        <v>3</v>
      </c>
      <c r="B32" s="2" t="s">
        <v>49</v>
      </c>
      <c r="C32" s="3" t="s">
        <v>51</v>
      </c>
      <c r="D32" s="2" t="s">
        <v>52</v>
      </c>
      <c r="E32" s="6" t="s">
        <v>54</v>
      </c>
      <c r="F32" s="8">
        <f>2.429*15%</f>
        <v>0.36434999999999995</v>
      </c>
    </row>
    <row r="33" spans="1:6" x14ac:dyDescent="0.25">
      <c r="A33" s="38" t="s">
        <v>55</v>
      </c>
      <c r="B33" s="38"/>
      <c r="C33" s="38"/>
      <c r="D33" s="38"/>
      <c r="E33" s="38"/>
      <c r="F33" s="38"/>
    </row>
    <row r="34" spans="1:6" ht="72" x14ac:dyDescent="0.25">
      <c r="A34" s="2">
        <v>1</v>
      </c>
      <c r="B34" s="2" t="s">
        <v>63</v>
      </c>
      <c r="C34" s="3" t="s">
        <v>196</v>
      </c>
      <c r="D34" s="2" t="s">
        <v>57</v>
      </c>
      <c r="E34" s="6" t="s">
        <v>168</v>
      </c>
      <c r="F34" s="8">
        <f>(45.5*K4)* 45.12*0.001</f>
        <v>0</v>
      </c>
    </row>
    <row r="35" spans="1:6" ht="60" x14ac:dyDescent="0.25">
      <c r="A35" s="2">
        <v>2</v>
      </c>
      <c r="B35" s="2" t="s">
        <v>59</v>
      </c>
      <c r="C35" s="3" t="s">
        <v>197</v>
      </c>
      <c r="D35" s="2" t="s">
        <v>64</v>
      </c>
      <c r="E35" s="6" t="s">
        <v>169</v>
      </c>
      <c r="F35" s="8">
        <f>(20.5*K4)* 45.12 *0.001</f>
        <v>0</v>
      </c>
    </row>
    <row r="36" spans="1:6" ht="60" x14ac:dyDescent="0.25">
      <c r="A36" s="2">
        <v>3</v>
      </c>
      <c r="B36" s="2" t="s">
        <v>60</v>
      </c>
      <c r="C36" s="3" t="s">
        <v>198</v>
      </c>
      <c r="D36" s="2" t="s">
        <v>64</v>
      </c>
      <c r="E36" s="6" t="s">
        <v>170</v>
      </c>
      <c r="F36" s="8">
        <f>(18.2*K4)* 45.12*0.001</f>
        <v>0</v>
      </c>
    </row>
    <row r="37" spans="1:6" ht="15" customHeight="1" x14ac:dyDescent="0.25">
      <c r="A37" s="34" t="s">
        <v>67</v>
      </c>
      <c r="B37" s="34"/>
      <c r="C37" s="34"/>
      <c r="D37" s="34"/>
      <c r="E37" s="34"/>
      <c r="F37" s="11">
        <f>F28+F30+F31+F32+F34+F35+F36</f>
        <v>1.6859999999999999</v>
      </c>
    </row>
    <row r="38" spans="1:6" x14ac:dyDescent="0.25">
      <c r="A38" s="38" t="s">
        <v>70</v>
      </c>
      <c r="B38" s="38"/>
      <c r="C38" s="38"/>
      <c r="D38" s="38"/>
      <c r="E38" s="38"/>
      <c r="F38" s="38"/>
    </row>
    <row r="39" spans="1:6" x14ac:dyDescent="0.25">
      <c r="A39" s="38" t="s">
        <v>17</v>
      </c>
      <c r="B39" s="38"/>
      <c r="C39" s="38"/>
      <c r="D39" s="38"/>
      <c r="E39" s="38"/>
      <c r="F39" s="38"/>
    </row>
    <row r="40" spans="1:6" ht="96" x14ac:dyDescent="0.25">
      <c r="A40" s="2">
        <v>1</v>
      </c>
      <c r="B40" s="2" t="s">
        <v>71</v>
      </c>
      <c r="C40" s="3" t="s">
        <v>199</v>
      </c>
      <c r="D40" s="2" t="s">
        <v>73</v>
      </c>
      <c r="E40" s="6" t="s">
        <v>171</v>
      </c>
      <c r="F40" s="8">
        <f>(13.5*K2)*45.12*1.35* 0.001</f>
        <v>0</v>
      </c>
    </row>
    <row r="41" spans="1:6" ht="135" customHeight="1" x14ac:dyDescent="0.25">
      <c r="A41" s="2">
        <v>2</v>
      </c>
      <c r="B41" s="2" t="s">
        <v>75</v>
      </c>
      <c r="C41" s="3" t="s">
        <v>200</v>
      </c>
      <c r="D41" s="2" t="s">
        <v>73</v>
      </c>
      <c r="E41" s="6" t="s">
        <v>172</v>
      </c>
      <c r="F41" s="8">
        <f>(2.1*K2)* 45.12*1.35*0.001</f>
        <v>0</v>
      </c>
    </row>
    <row r="42" spans="1:6" ht="96" x14ac:dyDescent="0.25">
      <c r="A42" s="7">
        <v>3</v>
      </c>
      <c r="B42" s="7" t="s">
        <v>78</v>
      </c>
      <c r="C42" s="3" t="s">
        <v>201</v>
      </c>
      <c r="D42" s="2" t="s">
        <v>80</v>
      </c>
      <c r="E42" s="6" t="s">
        <v>173</v>
      </c>
      <c r="F42" s="8">
        <f>(7.5*20)*45.12*1.35*0.001</f>
        <v>9.1368000000000009</v>
      </c>
    </row>
    <row r="43" spans="1:6" ht="60" x14ac:dyDescent="0.25">
      <c r="A43" s="2">
        <v>4</v>
      </c>
      <c r="B43" s="17" t="s">
        <v>82</v>
      </c>
      <c r="C43" s="16" t="s">
        <v>202</v>
      </c>
      <c r="D43" s="2" t="s">
        <v>85</v>
      </c>
      <c r="E43" s="6" t="s">
        <v>174</v>
      </c>
      <c r="F43" s="8">
        <f>(161*1)* 45.12*1.35*0.001</f>
        <v>9.806832</v>
      </c>
    </row>
    <row r="44" spans="1:6" ht="96" x14ac:dyDescent="0.25">
      <c r="A44" s="2">
        <v>5</v>
      </c>
      <c r="B44" s="17" t="s">
        <v>83</v>
      </c>
      <c r="C44" s="16" t="s">
        <v>203</v>
      </c>
      <c r="D44" s="2" t="s">
        <v>88</v>
      </c>
      <c r="E44" s="6" t="s">
        <v>175</v>
      </c>
      <c r="F44" s="8">
        <f>(14.8*K3*10)* 45.12*1.35 *0.001</f>
        <v>0</v>
      </c>
    </row>
    <row r="45" spans="1:6" ht="94.5" customHeight="1" x14ac:dyDescent="0.25">
      <c r="A45" s="2">
        <v>6</v>
      </c>
      <c r="B45" s="17" t="s">
        <v>90</v>
      </c>
      <c r="C45" s="16" t="s">
        <v>204</v>
      </c>
      <c r="D45" s="2" t="s">
        <v>57</v>
      </c>
      <c r="E45" s="6" t="s">
        <v>176</v>
      </c>
      <c r="F45" s="8">
        <f>(9.7*K4)*45.12*1.35*0.001</f>
        <v>0</v>
      </c>
    </row>
    <row r="46" spans="1:6" ht="60" x14ac:dyDescent="0.25">
      <c r="A46" s="2">
        <v>7</v>
      </c>
      <c r="B46" s="17" t="s">
        <v>93</v>
      </c>
      <c r="C46" s="16" t="s">
        <v>205</v>
      </c>
      <c r="D46" s="2" t="s">
        <v>57</v>
      </c>
      <c r="E46" s="6" t="s">
        <v>177</v>
      </c>
      <c r="F46" s="8">
        <f>(29*K4)* 45.12*1.35*0.001</f>
        <v>0</v>
      </c>
    </row>
    <row r="47" spans="1:6" ht="96" x14ac:dyDescent="0.25">
      <c r="A47" s="2">
        <v>8</v>
      </c>
      <c r="B47" s="17" t="s">
        <v>96</v>
      </c>
      <c r="C47" s="16" t="s">
        <v>206</v>
      </c>
      <c r="D47" s="2" t="s">
        <v>57</v>
      </c>
      <c r="E47" s="2" t="s">
        <v>178</v>
      </c>
      <c r="F47" s="8">
        <f>(6.5*K4)*45.12*1.35*0.001</f>
        <v>0</v>
      </c>
    </row>
    <row r="48" spans="1:6" x14ac:dyDescent="0.25">
      <c r="A48" s="44" t="s">
        <v>30</v>
      </c>
      <c r="B48" s="45"/>
      <c r="C48" s="41"/>
      <c r="D48" s="41"/>
      <c r="E48" s="41"/>
      <c r="F48" s="42"/>
    </row>
    <row r="49" spans="1:6" ht="60" x14ac:dyDescent="0.25">
      <c r="A49" s="2">
        <v>1</v>
      </c>
      <c r="B49" s="2" t="s">
        <v>99</v>
      </c>
      <c r="C49" s="3" t="s">
        <v>207</v>
      </c>
      <c r="D49" s="18" t="s">
        <v>101</v>
      </c>
      <c r="E49" s="6" t="s">
        <v>179</v>
      </c>
      <c r="F49" s="8">
        <f>800*0.001*1*45.12</f>
        <v>36.095999999999997</v>
      </c>
    </row>
    <row r="50" spans="1:6" ht="48" x14ac:dyDescent="0.25">
      <c r="A50" s="2">
        <v>2</v>
      </c>
      <c r="B50" s="2" t="s">
        <v>103</v>
      </c>
      <c r="C50" s="3" t="s">
        <v>208</v>
      </c>
      <c r="D50" s="2" t="s">
        <v>105</v>
      </c>
      <c r="E50" s="6" t="s">
        <v>106</v>
      </c>
      <c r="F50" s="8">
        <f>44.96*0.16</f>
        <v>7.1936</v>
      </c>
    </row>
    <row r="51" spans="1:6" x14ac:dyDescent="0.25">
      <c r="A51" s="34" t="s">
        <v>107</v>
      </c>
      <c r="B51" s="34"/>
      <c r="C51" s="34"/>
      <c r="D51" s="34"/>
      <c r="E51" s="34"/>
      <c r="F51" s="11">
        <f>F40+F41+F42+F43+F44+F45+F46+F47+F49+F50</f>
        <v>62.233232000000001</v>
      </c>
    </row>
    <row r="52" spans="1:6" x14ac:dyDescent="0.25">
      <c r="A52" s="38" t="s">
        <v>108</v>
      </c>
      <c r="B52" s="38"/>
      <c r="C52" s="38"/>
      <c r="D52" s="38"/>
      <c r="E52" s="38"/>
      <c r="F52" s="38"/>
    </row>
    <row r="53" spans="1:6" ht="36" x14ac:dyDescent="0.25">
      <c r="A53" s="2">
        <v>1</v>
      </c>
      <c r="B53" s="2" t="s">
        <v>109</v>
      </c>
      <c r="C53" s="3" t="s">
        <v>209</v>
      </c>
      <c r="D53" s="2" t="s">
        <v>111</v>
      </c>
      <c r="E53" s="6" t="s">
        <v>180</v>
      </c>
      <c r="F53" s="8">
        <f>(6*K2)* 45.12*0.001</f>
        <v>0</v>
      </c>
    </row>
    <row r="54" spans="1:6" ht="60" x14ac:dyDescent="0.25">
      <c r="A54" s="2">
        <v>2</v>
      </c>
      <c r="B54" s="2" t="s">
        <v>113</v>
      </c>
      <c r="C54" s="3" t="s">
        <v>210</v>
      </c>
      <c r="D54" s="2" t="s">
        <v>115</v>
      </c>
      <c r="E54" s="6" t="s">
        <v>181</v>
      </c>
      <c r="F54" s="8">
        <f>(1*20)* 45.12*0.001</f>
        <v>0.90239999999999998</v>
      </c>
    </row>
    <row r="55" spans="1:6" ht="60" x14ac:dyDescent="0.25">
      <c r="A55" s="7">
        <v>3</v>
      </c>
      <c r="B55" s="7" t="s">
        <v>117</v>
      </c>
      <c r="C55" s="3" t="s">
        <v>211</v>
      </c>
      <c r="D55" s="2" t="s">
        <v>115</v>
      </c>
      <c r="E55" s="6" t="s">
        <v>182</v>
      </c>
      <c r="F55" s="8">
        <f>(2.8*20)* 45.12*0.001</f>
        <v>2.5267199999999996</v>
      </c>
    </row>
    <row r="56" spans="1:6" ht="60" x14ac:dyDescent="0.25">
      <c r="A56" s="2">
        <v>4</v>
      </c>
      <c r="B56" s="17" t="s">
        <v>120</v>
      </c>
      <c r="C56" s="16" t="s">
        <v>212</v>
      </c>
      <c r="D56" s="2" t="s">
        <v>115</v>
      </c>
      <c r="E56" s="6" t="s">
        <v>183</v>
      </c>
      <c r="F56" s="8">
        <f>(7*20)* 45.12*0.001</f>
        <v>6.3167999999999997</v>
      </c>
    </row>
    <row r="57" spans="1:6" ht="60" x14ac:dyDescent="0.25">
      <c r="A57" s="2">
        <v>5</v>
      </c>
      <c r="B57" s="17" t="s">
        <v>123</v>
      </c>
      <c r="C57" s="16" t="s">
        <v>213</v>
      </c>
      <c r="D57" s="2" t="s">
        <v>115</v>
      </c>
      <c r="E57" s="6" t="s">
        <v>184</v>
      </c>
      <c r="F57" s="8">
        <f>(1.7*20)* 45.12*0.001</f>
        <v>1.5340799999999999</v>
      </c>
    </row>
    <row r="58" spans="1:6" ht="60" x14ac:dyDescent="0.25">
      <c r="A58" s="2">
        <v>6</v>
      </c>
      <c r="B58" s="17" t="s">
        <v>126</v>
      </c>
      <c r="C58" s="16" t="s">
        <v>214</v>
      </c>
      <c r="D58" s="2" t="s">
        <v>115</v>
      </c>
      <c r="E58" s="6" t="s">
        <v>185</v>
      </c>
      <c r="F58" s="8">
        <f>(1.5*20)* 45.12*0.001</f>
        <v>1.3535999999999999</v>
      </c>
    </row>
    <row r="59" spans="1:6" ht="60" x14ac:dyDescent="0.25">
      <c r="A59" s="2">
        <v>7</v>
      </c>
      <c r="B59" s="17" t="s">
        <v>129</v>
      </c>
      <c r="C59" s="16" t="s">
        <v>215</v>
      </c>
      <c r="D59" s="2" t="s">
        <v>115</v>
      </c>
      <c r="E59" s="6" t="s">
        <v>186</v>
      </c>
      <c r="F59" s="8">
        <f>(2.1*20)* 45.12*0.001</f>
        <v>1.8950400000000001</v>
      </c>
    </row>
    <row r="60" spans="1:6" ht="60" x14ac:dyDescent="0.25">
      <c r="A60" s="2">
        <v>8</v>
      </c>
      <c r="B60" s="17" t="s">
        <v>132</v>
      </c>
      <c r="C60" s="16" t="s">
        <v>216</v>
      </c>
      <c r="D60" s="2" t="s">
        <v>115</v>
      </c>
      <c r="E60" s="2" t="s">
        <v>187</v>
      </c>
      <c r="F60" s="8">
        <f>(6.7*20)* 45.12*0.001</f>
        <v>6.0460799999999999</v>
      </c>
    </row>
    <row r="61" spans="1:6" ht="60" x14ac:dyDescent="0.25">
      <c r="A61" s="2">
        <v>9</v>
      </c>
      <c r="B61" s="17" t="s">
        <v>135</v>
      </c>
      <c r="C61" s="16" t="s">
        <v>217</v>
      </c>
      <c r="D61" s="2" t="s">
        <v>115</v>
      </c>
      <c r="E61" s="2" t="s">
        <v>188</v>
      </c>
      <c r="F61" s="8">
        <f>8.2*20*45.12*0.001</f>
        <v>7.3996799999999991</v>
      </c>
    </row>
    <row r="62" spans="1:6" ht="48" x14ac:dyDescent="0.25">
      <c r="A62" s="2">
        <v>10</v>
      </c>
      <c r="B62" s="17" t="s">
        <v>138</v>
      </c>
      <c r="C62" s="16" t="s">
        <v>218</v>
      </c>
      <c r="D62" s="2" t="s">
        <v>140</v>
      </c>
      <c r="E62" s="2" t="s">
        <v>189</v>
      </c>
      <c r="F62" s="8">
        <f>(201*1)* 45.12*0.001</f>
        <v>9.0691199999999998</v>
      </c>
    </row>
    <row r="63" spans="1:6" ht="60" x14ac:dyDescent="0.25">
      <c r="A63" s="2">
        <v>11</v>
      </c>
      <c r="B63" s="17" t="s">
        <v>142</v>
      </c>
      <c r="C63" s="16" t="s">
        <v>143</v>
      </c>
      <c r="D63" s="2" t="s">
        <v>144</v>
      </c>
      <c r="E63" s="2" t="s">
        <v>190</v>
      </c>
      <c r="F63" s="8">
        <f>300*45.12*0.001</f>
        <v>13.536</v>
      </c>
    </row>
    <row r="64" spans="1:6" ht="48" x14ac:dyDescent="0.25">
      <c r="A64" s="2">
        <v>12</v>
      </c>
      <c r="B64" s="17" t="s">
        <v>103</v>
      </c>
      <c r="C64" s="16" t="s">
        <v>146</v>
      </c>
      <c r="D64" s="2" t="s">
        <v>105</v>
      </c>
      <c r="E64" s="2" t="s">
        <v>224</v>
      </c>
      <c r="F64" s="8">
        <f>37.397*60%</f>
        <v>22.438199999999998</v>
      </c>
    </row>
    <row r="65" spans="1:10" x14ac:dyDescent="0.25">
      <c r="A65" s="34" t="s">
        <v>153</v>
      </c>
      <c r="B65" s="34"/>
      <c r="C65" s="34"/>
      <c r="D65" s="34"/>
      <c r="E65" s="34"/>
      <c r="F65" s="12">
        <f>F53+F54+F55+F56+F57+F58+F59+F60+F61+F62+F63+F64</f>
        <v>73.017719999999997</v>
      </c>
    </row>
    <row r="66" spans="1:10" x14ac:dyDescent="0.25">
      <c r="A66" s="38" t="s">
        <v>148</v>
      </c>
      <c r="B66" s="38"/>
      <c r="C66" s="38"/>
      <c r="D66" s="38"/>
      <c r="E66" s="38"/>
      <c r="F66" s="38"/>
    </row>
    <row r="67" spans="1:10" ht="72" x14ac:dyDescent="0.25">
      <c r="A67" s="2">
        <v>1</v>
      </c>
      <c r="B67" s="17" t="s">
        <v>149</v>
      </c>
      <c r="C67" s="16" t="s">
        <v>150</v>
      </c>
      <c r="D67" s="2" t="s">
        <v>105</v>
      </c>
      <c r="E67" s="2" t="s">
        <v>228</v>
      </c>
      <c r="F67" s="8">
        <f>J67*27.3%*3.73</f>
        <v>0</v>
      </c>
      <c r="H67" s="51"/>
      <c r="I67" s="51"/>
      <c r="J67" s="27"/>
    </row>
    <row r="68" spans="1:10" s="25" customFormat="1" ht="31.5" customHeight="1" x14ac:dyDescent="0.25">
      <c r="A68" s="2">
        <v>2</v>
      </c>
      <c r="B68" s="17" t="s">
        <v>225</v>
      </c>
      <c r="C68" s="16" t="s">
        <v>227</v>
      </c>
      <c r="D68" s="2" t="s">
        <v>105</v>
      </c>
      <c r="E68" s="2" t="s">
        <v>226</v>
      </c>
      <c r="F68" s="8">
        <f>20/1.18</f>
        <v>16.949152542372882</v>
      </c>
      <c r="H68" s="47"/>
      <c r="I68" s="47"/>
      <c r="J68" s="28"/>
    </row>
    <row r="69" spans="1:10" x14ac:dyDescent="0.25">
      <c r="A69" s="34" t="s">
        <v>154</v>
      </c>
      <c r="B69" s="34"/>
      <c r="C69" s="34"/>
      <c r="D69" s="34"/>
      <c r="E69" s="34"/>
      <c r="F69" s="11">
        <v>420.803</v>
      </c>
    </row>
    <row r="71" spans="1:10" ht="30" customHeight="1" x14ac:dyDescent="0.25">
      <c r="B71" s="35" t="s">
        <v>155</v>
      </c>
      <c r="C71" s="35"/>
      <c r="D71" s="30">
        <v>1992.7190000000001</v>
      </c>
      <c r="E71" s="30"/>
      <c r="F71" s="22" t="s">
        <v>158</v>
      </c>
    </row>
    <row r="72" spans="1:10" ht="30" customHeight="1" x14ac:dyDescent="0.25">
      <c r="B72" s="35" t="s">
        <v>156</v>
      </c>
      <c r="C72" s="35"/>
      <c r="D72" s="30">
        <f>D71*18%</f>
        <v>358.68941999999998</v>
      </c>
      <c r="E72" s="30"/>
      <c r="F72" s="22" t="s">
        <v>158</v>
      </c>
    </row>
    <row r="73" spans="1:10" ht="30" customHeight="1" x14ac:dyDescent="0.25">
      <c r="B73" s="35" t="s">
        <v>157</v>
      </c>
      <c r="C73" s="35"/>
      <c r="D73" s="30">
        <f>D71+D72</f>
        <v>2351.4084200000002</v>
      </c>
      <c r="E73" s="30"/>
      <c r="F73" s="22" t="s">
        <v>158</v>
      </c>
    </row>
    <row r="74" spans="1:10" x14ac:dyDescent="0.25">
      <c r="D74" s="30"/>
      <c r="E74" s="30"/>
    </row>
    <row r="75" spans="1:10" x14ac:dyDescent="0.25">
      <c r="B75" s="46" t="s">
        <v>237</v>
      </c>
      <c r="C75" s="46"/>
      <c r="D75" s="46"/>
      <c r="E75" s="46"/>
      <c r="F75" s="46"/>
    </row>
  </sheetData>
  <mergeCells count="46">
    <mergeCell ref="A6:F6"/>
    <mergeCell ref="A7:F7"/>
    <mergeCell ref="A8:F8"/>
    <mergeCell ref="A1:F1"/>
    <mergeCell ref="A2:F2"/>
    <mergeCell ref="A3:F3"/>
    <mergeCell ref="A4:F4"/>
    <mergeCell ref="A5:F5"/>
    <mergeCell ref="H2:J2"/>
    <mergeCell ref="B73:C73"/>
    <mergeCell ref="D73:E73"/>
    <mergeCell ref="D74:E74"/>
    <mergeCell ref="H67:I67"/>
    <mergeCell ref="A69:E69"/>
    <mergeCell ref="B71:C71"/>
    <mergeCell ref="D71:E71"/>
    <mergeCell ref="B72:C72"/>
    <mergeCell ref="D72:E72"/>
    <mergeCell ref="A66:F66"/>
    <mergeCell ref="A26:F26"/>
    <mergeCell ref="A51:E51"/>
    <mergeCell ref="A52:F52"/>
    <mergeCell ref="A65:E65"/>
    <mergeCell ref="A27:F27"/>
    <mergeCell ref="A33:F33"/>
    <mergeCell ref="A37:E37"/>
    <mergeCell ref="A38:F38"/>
    <mergeCell ref="A16:F16"/>
    <mergeCell ref="A17:F17"/>
    <mergeCell ref="A21:F21"/>
    <mergeCell ref="B75:F75"/>
    <mergeCell ref="H68:I68"/>
    <mergeCell ref="H3:J3"/>
    <mergeCell ref="H4:J4"/>
    <mergeCell ref="H5:J5"/>
    <mergeCell ref="H8:J8"/>
    <mergeCell ref="A39:F39"/>
    <mergeCell ref="A48:F48"/>
    <mergeCell ref="H9:J9"/>
    <mergeCell ref="A10:F10"/>
    <mergeCell ref="H10:J10"/>
    <mergeCell ref="A13:F13"/>
    <mergeCell ref="A15:E15"/>
    <mergeCell ref="A25:E25"/>
    <mergeCell ref="A9:F9"/>
    <mergeCell ref="A29:F29"/>
  </mergeCells>
  <pageMargins left="0.78740157480314965" right="0.19685039370078741" top="0.78740157480314965" bottom="0.59055118110236227" header="0.31496062992125984" footer="0.31496062992125984"/>
  <pageSetup paperSize="9" scale="97" fitToHeight="0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Дорога 2 полосы застроенная</vt:lpstr>
      <vt:lpstr>Лист2</vt:lpstr>
      <vt:lpstr>Лист3</vt:lpstr>
      <vt:lpstr>'Дорога 2 полосы застроенная'!Заголовки_для_печати</vt:lpstr>
      <vt:lpstr>'Дорога 2 полосы застроенная'!Область_печати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2017-03-21T07:42:49Z</dcterms:modified>
</cp:coreProperties>
</file>